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VQRk9bsZLY5CnQBOz9R35E3jd+Fzx1ZyubbCb204HkckfvMdfDeecSdt49Xw0k4w6Fkcn90wZOaxsMtq00l3jg==" workbookSaltValue="+kUnWwfvnqQAtGZEMBoE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18" i="12"/>
  <c r="ER19" i="8"/>
  <c r="EL19" i="8"/>
  <c r="AC11" i="11"/>
  <c r="EQ19" i="8"/>
  <c r="AP12" i="11"/>
  <c r="Y11" i="11"/>
  <c r="AT18" i="17"/>
  <c r="AL10" i="11"/>
  <c r="N10" i="11"/>
  <c r="N9" i="11"/>
  <c r="T10" i="21"/>
  <c r="F10" i="10"/>
  <c r="D11" i="2"/>
  <c r="N11" i="11"/>
  <c r="ES19" i="8"/>
  <c r="C18" i="7"/>
  <c r="S19" i="13"/>
  <c r="AG19" i="19"/>
  <c r="F9" i="11"/>
  <c r="CI19" i="8"/>
  <c r="EP19" i="8"/>
  <c r="ER19" i="13"/>
  <c r="AL13" i="16"/>
  <c r="S13" i="16"/>
  <c r="H18" i="16"/>
  <c r="P13" i="16"/>
  <c r="AN13" i="20"/>
  <c r="Z13" i="17"/>
  <c r="C11" i="6"/>
  <c r="I11" i="12" s="1"/>
  <c r="N13" i="2"/>
  <c r="AO9" i="11"/>
  <c r="AC10" i="11"/>
  <c r="H13" i="12"/>
  <c r="T19" i="8"/>
  <c r="T13" i="12"/>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F17" i="8"/>
  <c r="F17" i="17"/>
  <c r="AQ17" i="17" s="1"/>
  <c r="AO16" i="11"/>
  <c r="BG16" i="8"/>
  <c r="AW18" i="21"/>
  <c r="AB19" i="8"/>
  <c r="BD12" i="8"/>
  <c r="H12" i="7" s="1"/>
  <c r="BG10" i="8"/>
  <c r="C19" i="3"/>
  <c r="F9" i="2"/>
  <c r="AL11" i="11"/>
  <c r="B9" i="6"/>
  <c r="K9" i="7"/>
  <c r="H15" i="7"/>
  <c r="H12" i="2"/>
  <c r="C10" i="6"/>
  <c r="L11" i="14"/>
  <c r="E18" i="2"/>
  <c r="AO17" i="11"/>
  <c r="AL15" i="11"/>
  <c r="L16" i="14"/>
  <c r="M18" i="2"/>
  <c r="N18" i="2"/>
  <c r="N19" i="2" s="1"/>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7"/>
  <c r="B19" i="7"/>
  <c r="B18" i="6"/>
  <c r="AI19" i="11"/>
  <c r="K16" i="12"/>
  <c r="Y13" i="11"/>
  <c r="D19" i="5"/>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<sst xmlns="http://schemas.openxmlformats.org/spreadsheetml/2006/main" count="2102" uniqueCount="918">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</sst>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Z7rCjQptR7ph5awslL1mK3QsLwg9j50kz9zLt5/IT+N4v32JO3OjM5HzzMnminwmB0IcWgh1qddS/3g63aheA==" saltValue="XREe6ejldqXze8QOzAwH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0</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0.4</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31.30769230769231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192</v>
      </c>
      <c r="D16" s="224">
        <f>IF(ISNUMBER(IF(D_I="SI",Datos!I16,Datos!I16+Datos!AC16)),IF(D_I="SI",Datos!I16,Datos!I16+Datos!AC16)," - ")</f>
        <v>192</v>
      </c>
      <c r="E16" s="225">
        <f>IF(ISNUMBER(IF(D_I="SI",Datos!J16,Datos!J16+Datos!AD16)),IF(D_I="SI",Datos!J16,Datos!J16+Datos!AD16)," - ")</f>
        <v>90</v>
      </c>
      <c r="F16" s="225">
        <f>IF(ISNUMBER(IF(D_I="SI",Datos!K16,Datos!K16+Datos!AE16)),IF(D_I="SI",Datos!K16,Datos!K16+Datos!AE16)," - ")</f>
        <v>136</v>
      </c>
      <c r="G16" s="1033" t="str">
        <f>IF(Datos!E16&lt;&gt;"",Datos!E16,Datos!D16)</f>
        <v>04</v>
      </c>
      <c r="H16" s="226">
        <f>IF(ISNUMBER(IF(D_I="SI",Datos!L16,Datos!L16+Datos!AF16)),IF(D_I="SI",Datos!L16,Datos!L16+Datos!AF16)," - ")</f>
        <v>146</v>
      </c>
      <c r="I16" s="1043" t="str">
        <f>IF(ISNUMBER(Datos!AS16/Datos!BM16),Datos!AS16/Datos!BM16," - ")</f>
        <v xml:space="preserve"> - </v>
      </c>
      <c r="J16" s="1044">
        <f>IF(ISNUMBER(Datos!BY16/Datos!CN16),Datos!BY16/Datos!CN16," - ")</f>
        <v>0</v>
      </c>
      <c r="K16" s="229">
        <f t="shared" si="3"/>
        <v>-0.23958333333333334</v>
      </c>
      <c r="L16" s="1024">
        <f>IF(ISNUMBER(NºAsuntos!I16/NºAsuntos!G16),(NºAsuntos!I16/NºAsuntos!G16)*11," - ")</f>
        <v>11.808823529411764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21</v>
      </c>
      <c r="F17" s="225">
        <f>IF(ISNUMBER(IF(D_I="SI",Datos!K17,Datos!K17+Datos!AE17)),IF(D_I="SI",Datos!K17,Datos!K17+Datos!AE17)," - ")</f>
        <v>17</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0.2857142857142857</v>
      </c>
      <c r="L17" s="1024">
        <f>IF(ISNUMBER(NºAsuntos!I17/NºAsuntos!G17),(NºAsuntos!I17/NºAsuntos!G17)*11," - ")</f>
        <v>11.647058823529411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206</v>
      </c>
      <c r="D18" s="1048">
        <f>SUBTOTAL(9,D15:D17)</f>
        <v>206</v>
      </c>
      <c r="E18" s="1049">
        <f>SUBTOTAL(9,E15:E17)</f>
        <v>111</v>
      </c>
      <c r="F18" s="1049">
        <f>SUBTOTAL(9,F15:F17)</f>
        <v>153</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211</v>
      </c>
      <c r="D19" s="1070">
        <f>SUBTOTAL(9,D9:D18)</f>
        <v>211</v>
      </c>
      <c r="E19" s="1071">
        <f>SUBTOTAL(9,E9:E18)</f>
        <v>113</v>
      </c>
      <c r="F19" s="1071">
        <f>SUBTOTAL(9,F9:F18)</f>
        <v>153</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fszNKq3os0jyINxd2k3AKs7q6raZ83gvl2+C5SO8kHGMxMBTkTRLzi7kaK4O9iSayhytK3KlEyBVFPnqFEbHQ==" saltValue="+IaREXCwHX9qdCix/7N0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uTfTg93PVM1KTROga+cpRG/IcAQ7PEgSMoZrl0KIy6CD9zgTNkLFLNXF6STV4PIuaT5tryqqSqWtHhMNhZXdg==" saltValue="5ikv76qwdnd4bmOqBEDZ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0</v>
      </c>
      <c r="L10" s="180">
        <v>7</v>
      </c>
      <c r="M10" s="180">
        <v>0</v>
      </c>
      <c r="N10" s="180">
        <v>0</v>
      </c>
      <c r="O10" s="180">
        <v>0</v>
      </c>
      <c r="P10" s="180">
        <v>0</v>
      </c>
      <c r="Q10" s="180">
        <v>0</v>
      </c>
      <c r="R10" s="180">
        <v>4</v>
      </c>
      <c r="S10" s="180">
        <v>5</v>
      </c>
      <c r="T10" s="180">
        <v>5</v>
      </c>
      <c r="U10" s="180">
        <v>2</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5</v>
      </c>
      <c r="BA10" s="129">
        <f t="shared" si="0"/>
        <v>2</v>
      </c>
      <c r="BB10" s="129">
        <f t="shared" si="0"/>
        <v>8</v>
      </c>
      <c r="BC10" s="125">
        <f t="shared" si="0"/>
        <v>0</v>
      </c>
      <c r="BD10" s="126">
        <f>IF(ISNUMBER(BA10/AZ10),BA10/AZ10," - ")</f>
        <v>0.4</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202</v>
      </c>
      <c r="J12" s="182">
        <v>45</v>
      </c>
      <c r="K12" s="182">
        <v>66</v>
      </c>
      <c r="L12" s="182">
        <v>181</v>
      </c>
      <c r="M12" s="182">
        <v>28</v>
      </c>
      <c r="N12" s="182">
        <v>31</v>
      </c>
      <c r="O12" s="180">
        <v>33</v>
      </c>
      <c r="P12" s="182">
        <v>48</v>
      </c>
      <c r="Q12" s="182">
        <v>14</v>
      </c>
      <c r="R12" s="182">
        <v>526</v>
      </c>
      <c r="S12" s="182">
        <v>243</v>
      </c>
      <c r="T12" s="182">
        <v>103</v>
      </c>
      <c r="U12" s="182">
        <v>77</v>
      </c>
      <c r="V12" s="182">
        <v>269</v>
      </c>
      <c r="W12" s="182">
        <v>23</v>
      </c>
      <c r="X12" s="188">
        <v>29</v>
      </c>
      <c r="Y12" s="190">
        <v>32</v>
      </c>
      <c r="Z12" s="180">
        <v>21</v>
      </c>
      <c r="AA12" s="180">
        <v>12</v>
      </c>
      <c r="AB12" s="180">
        <v>41</v>
      </c>
      <c r="AC12" s="182">
        <v>0</v>
      </c>
      <c r="AD12" s="182">
        <v>0</v>
      </c>
      <c r="AE12" s="182">
        <v>0</v>
      </c>
      <c r="AF12" s="188">
        <v>0</v>
      </c>
      <c r="AG12" s="201">
        <v>25</v>
      </c>
      <c r="AH12" s="182">
        <v>22</v>
      </c>
      <c r="AI12" s="182">
        <v>6</v>
      </c>
      <c r="AJ12" s="202">
        <v>41</v>
      </c>
      <c r="AK12" s="181">
        <v>0</v>
      </c>
      <c r="AL12" s="182">
        <v>0</v>
      </c>
      <c r="AM12" s="182">
        <v>0</v>
      </c>
      <c r="AN12" s="188">
        <v>0</v>
      </c>
      <c r="AO12" s="258">
        <v>1</v>
      </c>
      <c r="AP12" s="154">
        <v>1</v>
      </c>
      <c r="AQ12" s="154">
        <v>1</v>
      </c>
      <c r="AR12" s="153">
        <v>1</v>
      </c>
      <c r="AS12" s="339" t="s">
        <v>794</v>
      </c>
      <c r="AT12" s="202"/>
      <c r="AU12" s="201"/>
      <c r="AV12" s="202"/>
      <c r="AW12" s="201"/>
      <c r="AX12" s="202"/>
      <c r="AY12" s="126">
        <f t="shared" si="1"/>
        <v>268</v>
      </c>
      <c r="AZ12" s="127">
        <f t="shared" si="1"/>
        <v>125</v>
      </c>
      <c r="BA12" s="127">
        <f t="shared" si="1"/>
        <v>83</v>
      </c>
      <c r="BB12" s="127">
        <f t="shared" si="1"/>
        <v>310</v>
      </c>
      <c r="BC12" s="125">
        <f>IF(ISNUMBER(X12),X12," - ")</f>
        <v>29</v>
      </c>
      <c r="BD12" s="126">
        <f t="shared" si="2"/>
        <v>0.66400000000000003</v>
      </c>
      <c r="BE12" s="127">
        <f t="shared" si="3"/>
        <v>3.7349397590361444</v>
      </c>
      <c r="BF12" s="127">
        <f t="shared" si="4"/>
        <v>0.3493975903614458</v>
      </c>
      <c r="BG12" s="195">
        <f t="shared" si="5"/>
        <v>4.7349397590361448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v>
      </c>
      <c r="J13" s="183">
        <f t="shared" si="6"/>
        <v>47</v>
      </c>
      <c r="K13" s="183">
        <f t="shared" si="6"/>
        <v>66</v>
      </c>
      <c r="L13" s="183">
        <f t="shared" si="6"/>
        <v>188</v>
      </c>
      <c r="M13" s="183">
        <f t="shared" si="6"/>
        <v>28</v>
      </c>
      <c r="N13" s="183">
        <f t="shared" si="6"/>
        <v>31</v>
      </c>
      <c r="O13" s="183">
        <f t="shared" si="6"/>
        <v>33</v>
      </c>
      <c r="P13" s="183">
        <f t="shared" si="6"/>
        <v>48</v>
      </c>
      <c r="Q13" s="183">
        <f t="shared" si="6"/>
        <v>14</v>
      </c>
      <c r="R13" s="183">
        <f t="shared" si="6"/>
        <v>530</v>
      </c>
      <c r="S13" s="183">
        <f t="shared" si="6"/>
        <v>248</v>
      </c>
      <c r="T13" s="183">
        <f t="shared" si="6"/>
        <v>108</v>
      </c>
      <c r="U13" s="183">
        <f t="shared" si="6"/>
        <v>79</v>
      </c>
      <c r="V13" s="183">
        <f t="shared" si="6"/>
        <v>277</v>
      </c>
      <c r="W13" s="183">
        <f t="shared" si="6"/>
        <v>23</v>
      </c>
      <c r="X13" s="183">
        <f t="shared" si="6"/>
        <v>29</v>
      </c>
      <c r="Y13" s="183">
        <f t="shared" si="6"/>
        <v>32</v>
      </c>
      <c r="Z13" s="183">
        <f t="shared" si="6"/>
        <v>21</v>
      </c>
      <c r="AA13" s="183">
        <f t="shared" si="6"/>
        <v>12</v>
      </c>
      <c r="AB13" s="183">
        <f t="shared" si="6"/>
        <v>41</v>
      </c>
      <c r="AC13" s="183">
        <f t="shared" si="6"/>
        <v>0</v>
      </c>
      <c r="AD13" s="183">
        <f t="shared" si="6"/>
        <v>0</v>
      </c>
      <c r="AE13" s="183">
        <f t="shared" si="6"/>
        <v>0</v>
      </c>
      <c r="AF13" s="183">
        <f>SUBTOTAL(9,AF9:AF12)</f>
        <v>0</v>
      </c>
      <c r="AG13" s="183">
        <f t="shared" ref="AG13:AT13" si="7">SUBTOTAL(9,AG8:AG12)</f>
        <v>25</v>
      </c>
      <c r="AH13" s="183">
        <f t="shared" si="7"/>
        <v>22</v>
      </c>
      <c r="AI13" s="183">
        <f t="shared" si="7"/>
        <v>6</v>
      </c>
      <c r="AJ13" s="183">
        <f t="shared" si="7"/>
        <v>41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273</v>
      </c>
      <c r="AZ13" s="183">
        <f>SUBTOTAL(9,AZ8:AZ12)</f>
        <v>130</v>
      </c>
      <c r="BA13" s="183">
        <f>SUBTOTAL(9,BA8:BA12)</f>
        <v>85</v>
      </c>
      <c r="BB13" s="183">
        <f>SUBTOTAL(9,BB8:BB12)</f>
        <v>318</v>
      </c>
      <c r="BC13" s="183">
        <f>SUBTOTAL(9,BC8:BC12)</f>
        <v>29</v>
      </c>
      <c r="BD13" s="204">
        <f>IF(ISNUMBER(BA13/AZ13),BA13/AZ13," - ")</f>
        <v>0.65384615384615385</v>
      </c>
      <c r="BE13" s="205">
        <f>IF(ISNUMBER(BB13/BA13),BB13/BA13, " - ")</f>
        <v>3.7411764705882353</v>
      </c>
      <c r="BF13" s="205">
        <f>IF(ISNUMBER(BC13/BA13),BC13/BA13, " - ")</f>
        <v>0.3411764705882353</v>
      </c>
      <c r="BG13" s="206">
        <f>IF(ISNUMBER((AY13+AZ13)/BA13),(AY13+AZ13)/BA13," - ")</f>
        <v>4.7411764705882353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192</v>
      </c>
      <c r="J16" s="182">
        <v>90</v>
      </c>
      <c r="K16" s="182">
        <v>136</v>
      </c>
      <c r="L16" s="182">
        <v>146</v>
      </c>
      <c r="M16" s="182">
        <v>17</v>
      </c>
      <c r="N16" s="182">
        <v>102</v>
      </c>
      <c r="O16" s="180">
        <v>0</v>
      </c>
      <c r="P16" s="182">
        <v>3</v>
      </c>
      <c r="Q16" s="182">
        <v>1</v>
      </c>
      <c r="R16" s="182">
        <v>28</v>
      </c>
      <c r="S16" s="182">
        <v>127</v>
      </c>
      <c r="T16" s="182">
        <v>114</v>
      </c>
      <c r="U16" s="182">
        <v>103</v>
      </c>
      <c r="V16" s="182">
        <v>140</v>
      </c>
      <c r="W16" s="182">
        <v>12</v>
      </c>
      <c r="X16" s="188">
        <v>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127</v>
      </c>
      <c r="AZ16" s="127">
        <f t="shared" si="9"/>
        <v>114</v>
      </c>
      <c r="BA16" s="127">
        <f t="shared" si="9"/>
        <v>103</v>
      </c>
      <c r="BB16" s="127">
        <f t="shared" si="9"/>
        <v>140</v>
      </c>
      <c r="BC16" s="125">
        <f>IF(ISNUMBER(W16),W16," - ")</f>
        <v>12</v>
      </c>
      <c r="BD16" s="126">
        <f t="shared" ref="BD16" si="11">IF(ISNUMBER(BA16/AZ16),BA16/AZ16," - ")</f>
        <v>0.90350877192982459</v>
      </c>
      <c r="BE16" s="127">
        <f t="shared" ref="BE16" si="12">IF(ISNUMBER(BB16/BA16),BB16/BA16, " - ")</f>
        <v>1.3592233009708738</v>
      </c>
      <c r="BF16" s="127">
        <f t="shared" ref="BF16" si="13">IF(ISNUMBER(BC16/BA16),BC16/BA16, " - ")</f>
        <v>0.11650485436893204</v>
      </c>
      <c r="BG16" s="195">
        <f t="shared" si="10"/>
        <v>2.3398058252427183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21</v>
      </c>
      <c r="K17" s="182">
        <v>17</v>
      </c>
      <c r="L17" s="182">
        <v>18</v>
      </c>
      <c r="M17" s="182">
        <v>5</v>
      </c>
      <c r="N17" s="182">
        <v>9</v>
      </c>
      <c r="O17" s="182">
        <v>0</v>
      </c>
      <c r="P17" s="182">
        <v>0</v>
      </c>
      <c r="Q17" s="182">
        <v>1</v>
      </c>
      <c r="R17" s="182">
        <v>2</v>
      </c>
      <c r="S17" s="182">
        <v>17</v>
      </c>
      <c r="T17" s="182">
        <v>13</v>
      </c>
      <c r="U17" s="182">
        <v>14</v>
      </c>
      <c r="V17" s="182">
        <v>16</v>
      </c>
      <c r="W17" s="182">
        <v>4</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13</v>
      </c>
      <c r="BA17" s="129">
        <f t="shared" si="14"/>
        <v>14</v>
      </c>
      <c r="BB17" s="129">
        <f t="shared" si="14"/>
        <v>16</v>
      </c>
      <c r="BC17" s="125">
        <f>IF(ISNUMBER(W17),W17," - ")</f>
        <v>4</v>
      </c>
      <c r="BD17" s="126">
        <f>IF(ISNUMBER(BA17/AZ17),BA17/AZ17," - ")</f>
        <v>1.0769230769230769</v>
      </c>
      <c r="BE17" s="127">
        <f>IF(ISNUMBER(BB17/BA17),BB17/BA17, " - ")</f>
        <v>1.1428571428571428</v>
      </c>
      <c r="BF17" s="127">
        <f>IF(ISNUMBER(BC17/BA17),BC17/BA17, " - ")</f>
        <v>0.2857142857142857</v>
      </c>
      <c r="BG17" s="195">
        <f>IF(ISNUMBER((AY17+AZ17)/BA17),(AY17+AZ17)/BA17," - ")</f>
        <v>2.1428571428571428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206</v>
      </c>
      <c r="J18" s="183">
        <f t="shared" si="15"/>
        <v>111</v>
      </c>
      <c r="K18" s="183">
        <f t="shared" si="15"/>
        <v>153</v>
      </c>
      <c r="L18" s="183">
        <f t="shared" si="15"/>
        <v>164</v>
      </c>
      <c r="M18" s="183">
        <f t="shared" si="15"/>
        <v>22</v>
      </c>
      <c r="N18" s="183">
        <f t="shared" si="15"/>
        <v>111</v>
      </c>
      <c r="O18" s="183">
        <f t="shared" si="15"/>
        <v>0</v>
      </c>
      <c r="P18" s="183">
        <f t="shared" si="15"/>
        <v>3</v>
      </c>
      <c r="Q18" s="183">
        <f t="shared" si="15"/>
        <v>2</v>
      </c>
      <c r="R18" s="183">
        <f t="shared" si="15"/>
        <v>30</v>
      </c>
      <c r="S18" s="183">
        <f t="shared" si="15"/>
        <v>144</v>
      </c>
      <c r="T18" s="183">
        <f t="shared" si="15"/>
        <v>127</v>
      </c>
      <c r="U18" s="183">
        <f t="shared" si="15"/>
        <v>117</v>
      </c>
      <c r="V18" s="183">
        <f t="shared" si="15"/>
        <v>156</v>
      </c>
      <c r="W18" s="183">
        <f t="shared" si="15"/>
        <v>16</v>
      </c>
      <c r="X18" s="183">
        <f t="shared" si="15"/>
        <v>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144</v>
      </c>
      <c r="AZ18" s="183">
        <f>SUBTOTAL(9,AZ14:AZ17)</f>
        <v>127</v>
      </c>
      <c r="BA18" s="183">
        <f>SUBTOTAL(9,BA14:BA17)</f>
        <v>117</v>
      </c>
      <c r="BB18" s="183">
        <f>SUBTOTAL(9,BB14:BB17)</f>
        <v>156</v>
      </c>
      <c r="BC18" s="183">
        <f>SUBTOTAL(9,BC14:BC17)</f>
        <v>16</v>
      </c>
      <c r="BD18" s="204">
        <f>IF(ISNUMBER(BA18/AZ18),BA18/AZ18," - ")</f>
        <v>0.92125984251968507</v>
      </c>
      <c r="BE18" s="205">
        <f>IF(ISNUMBER(BB18/BA18),BB18/BA18, " - ")</f>
        <v>1.3333333333333333</v>
      </c>
      <c r="BF18" s="205">
        <f>IF(ISNUMBER(BC18/BA18),BC18/BA18, " - ")</f>
        <v>0.13675213675213677</v>
      </c>
      <c r="BG18" s="206">
        <f>IF(ISNUMBER((AY18+AZ18)/BA18),(AY18+AZ18)/BA18," - ")</f>
        <v>2.3162393162393164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413</v>
      </c>
      <c r="J19" s="134">
        <f t="shared" si="18"/>
        <v>158</v>
      </c>
      <c r="K19" s="134">
        <f t="shared" si="18"/>
        <v>219</v>
      </c>
      <c r="L19" s="134">
        <f t="shared" si="18"/>
        <v>352</v>
      </c>
      <c r="M19" s="134">
        <f t="shared" si="18"/>
        <v>50</v>
      </c>
      <c r="N19" s="134">
        <f t="shared" si="18"/>
        <v>142</v>
      </c>
      <c r="O19" s="134">
        <f t="shared" si="18"/>
        <v>33</v>
      </c>
      <c r="P19" s="134">
        <f t="shared" si="18"/>
        <v>51</v>
      </c>
      <c r="Q19" s="134">
        <f t="shared" si="18"/>
        <v>16</v>
      </c>
      <c r="R19" s="134">
        <f t="shared" si="18"/>
        <v>560</v>
      </c>
      <c r="S19" s="134">
        <f t="shared" si="18"/>
        <v>392</v>
      </c>
      <c r="T19" s="134">
        <f t="shared" si="18"/>
        <v>235</v>
      </c>
      <c r="U19" s="134">
        <f t="shared" si="18"/>
        <v>196</v>
      </c>
      <c r="V19" s="134">
        <f t="shared" si="18"/>
        <v>433</v>
      </c>
      <c r="W19" s="134">
        <f t="shared" si="18"/>
        <v>39</v>
      </c>
      <c r="X19" s="134">
        <f t="shared" si="18"/>
        <v>107</v>
      </c>
      <c r="Y19" s="134">
        <f t="shared" si="18"/>
        <v>32</v>
      </c>
      <c r="Z19" s="134">
        <f t="shared" si="18"/>
        <v>21</v>
      </c>
      <c r="AA19" s="134">
        <f t="shared" si="18"/>
        <v>12</v>
      </c>
      <c r="AB19" s="134">
        <f t="shared" si="18"/>
        <v>41</v>
      </c>
      <c r="AC19" s="134">
        <f t="shared" si="18"/>
        <v>0</v>
      </c>
      <c r="AD19" s="134">
        <f t="shared" si="18"/>
        <v>0</v>
      </c>
      <c r="AE19" s="134">
        <f t="shared" si="18"/>
        <v>0</v>
      </c>
      <c r="AF19" s="134">
        <f t="shared" si="18"/>
        <v>0</v>
      </c>
      <c r="AG19" s="134">
        <f t="shared" si="18"/>
        <v>25</v>
      </c>
      <c r="AH19" s="134">
        <f t="shared" si="18"/>
        <v>22</v>
      </c>
      <c r="AI19" s="134">
        <f t="shared" si="18"/>
        <v>6</v>
      </c>
      <c r="AJ19" s="134">
        <f t="shared" si="18"/>
        <v>41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417</v>
      </c>
      <c r="AZ19" s="134">
        <f>SUBTOTAL(9,AZ9:AZ18)</f>
        <v>257</v>
      </c>
      <c r="BA19" s="134">
        <f>SUBTOTAL(9,BA9:BA18)</f>
        <v>202</v>
      </c>
      <c r="BB19" s="134">
        <f>SUBTOTAL(9,BB9:BB18)</f>
        <v>474</v>
      </c>
      <c r="BC19" s="135">
        <f>SUBTOTAL(9,BC9:BC18)</f>
        <v>45</v>
      </c>
      <c r="BD19" s="212">
        <f>IF(ISNUMBER(BA19/AZ19),BA19/AZ19," - ")</f>
        <v>0.78599221789883267</v>
      </c>
      <c r="BE19" s="209">
        <f>IF(ISNUMBER(BB19/BA19),BB19/BA19, " - ")</f>
        <v>2.3465346534653464</v>
      </c>
      <c r="BF19" s="209">
        <f>IF(ISNUMBER(BC19/BA19),BC19/BA19, " - ")</f>
        <v>0.22277227722772278</v>
      </c>
      <c r="BG19" s="135">
        <f>IF(ISNUMBER((AY19+AZ19)/BA19),(AY19+AZ19)/BA19," - ")</f>
        <v>3.3366336633663365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4y1caM6upFoTBrUG7RMlte1rU1WMMqxzfCO7Dg9HrDlIpQ59FEoqdYaNTe4W7keshDE08o6Ef9zAxKD4bOp1w==" saltValue="oUr5nHfDkK3EfdUJIBKo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oI17+Qs2LgG+ClNB1WncZD03xdrW79oR8RZWvPCW8uj1OkzwFrZYkrgIe5ilO/qs21YsNwq8Qd9LQfZIJ1e+Q==" saltValue="oUkbV6KG8yOIcbyCPUt/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41</v>
      </c>
      <c r="AI12" s="333" t="str">
        <f>IF(ISNUMBER(Datos!CD12),Datos!CD12,"-")</f>
        <v>-</v>
      </c>
      <c r="AJ12" s="333" t="str">
        <f>IF(ISNUMBER(Datos!EN12),Datos!EN12," - ")</f>
        <v xml:space="preserve"> - </v>
      </c>
      <c r="AK12" s="333"/>
      <c r="AL12" s="478"/>
      <c r="AM12" s="334">
        <f>IF(ISNUMBER(Datos!R12),Datos!R12," - ")</f>
        <v>526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1.1818181818181819</v>
      </c>
      <c r="BH12" s="259">
        <f>IF(ISNUMBER(((IF(J_V="SI",Datos!L12/Datos!K12,(Datos!L12+Datos!AB12)/(Datos!K12+Datos!AA12)))*11)/factor_trimestre),((IF(J_V="SI",Datos!L12/Datos!K12,(Datos!L12+Datos!AB12)/(Datos!K12+Datos!AA12)))*11)/factor_trimestre," - ")</f>
        <v>5.6923076923076925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6.910569105691057E-2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v>
      </c>
      <c r="AD13" s="898">
        <f t="shared" si="1"/>
        <v>0</v>
      </c>
      <c r="AE13" s="898">
        <f t="shared" si="1"/>
        <v>0</v>
      </c>
      <c r="AF13" s="898">
        <f t="shared" si="1"/>
        <v>7</v>
      </c>
      <c r="AG13" s="898">
        <f t="shared" si="1"/>
        <v>0</v>
      </c>
      <c r="AH13" s="898">
        <f t="shared" si="1"/>
        <v>41</v>
      </c>
      <c r="AI13" s="898">
        <f t="shared" si="1"/>
        <v>0</v>
      </c>
      <c r="AJ13" s="898">
        <f t="shared" si="1"/>
        <v>0</v>
      </c>
      <c r="AK13" s="898">
        <f t="shared" si="1"/>
        <v>0</v>
      </c>
      <c r="AL13" s="898">
        <f t="shared" si="1"/>
        <v>0</v>
      </c>
      <c r="AM13" s="898">
        <f t="shared" si="1"/>
        <v>530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v>
      </c>
      <c r="BD13" s="898">
        <f t="shared" si="1"/>
        <v>31</v>
      </c>
      <c r="BE13" s="898">
        <f t="shared" si="1"/>
        <v>0</v>
      </c>
      <c r="BF13" s="898">
        <f t="shared" si="1"/>
        <v>0</v>
      </c>
      <c r="BG13" s="898">
        <f>IF(ISNUMBER(Datos!K13/Datos!J13),Datos!K13/Datos!J13," - ")</f>
        <v>1.4042553191489362</v>
      </c>
      <c r="BH13" s="902">
        <f>IF(ISNUMBER(((Datos!L13/Datos!K13)*11)/factor_trimestre),((Datos!L13/Datos!K13)*11)/factor_trimestre," - ")</f>
        <v>5.6969696969696972</v>
      </c>
      <c r="BI13" s="898">
        <f>IF(ISNUMBER('Resol  Asuntos'!D13/NºAsuntos!G13),'Resol  Asuntos'!D13/NºAsuntos!G13," - ")</f>
        <v>0.35897435897435898</v>
      </c>
      <c r="BJ13" s="898" t="str">
        <f>IF(ISNUMBER(Datos!CI13/Datos!CJ13),Datos!CI13/Datos!CJ13," - ")</f>
        <v xml:space="preserve"> - </v>
      </c>
      <c r="BK13" s="898">
        <f>SUBTOTAL(9,BK8:BK12)</f>
        <v>0</v>
      </c>
      <c r="BL13" s="898">
        <f>IF(ISNUMBER((I13-AB13+L13)/(F13)),(I13-AB13+L13)/(F13)," - ")</f>
        <v>0</v>
      </c>
      <c r="BM13" s="903">
        <f>SUBTOTAL(9,BM9:BM12)</f>
        <v>6.910569105691057E-2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192</v>
      </c>
      <c r="G16" s="597">
        <f>IF(ISNUMBER(IF(D_I="SI",Datos!I16,Datos!I16+Datos!AC16)),IF(D_I="SI",Datos!I16,Datos!I16+Datos!AC16)," - ")</f>
        <v>192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136</v>
      </c>
      <c r="AC16" s="225">
        <f>IF(ISNUMBER(Datos!Q16),Datos!Q16," - ")</f>
        <v>1</v>
      </c>
      <c r="AD16" s="333"/>
      <c r="AE16" s="483"/>
      <c r="AF16" s="595">
        <f>IF(ISNUMBER(IF(D_I="SI",Datos!L16,Datos!L16+Datos!AF16)),IF(D_I="SI",Datos!L16,Datos!L16+Datos!AF16)," - ")</f>
        <v>146</v>
      </c>
      <c r="AG16" s="333"/>
      <c r="AH16" s="333"/>
      <c r="AI16" s="333"/>
      <c r="AJ16" s="333"/>
      <c r="AK16" s="333"/>
      <c r="AL16" s="478"/>
      <c r="AM16" s="334">
        <f>IF(ISNUMBER(Datos!R16),Datos!R16," - ")</f>
        <v>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102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1.5111111111111111</v>
      </c>
      <c r="BH16" s="259">
        <f>IF(ISNUMBER(((IF(D_I="SI",Datos!L16/Datos!K16,(Datos!L16+Datos!AF16)/(Datos!K16+Datos!AE16)))*11)/factor_trimestre),((IF(D_I="SI",Datos!L16/Datos!K16,(Datos!L16+Datos!AF16)/(Datos!K16+Datos!AE16)))*11)/factor_trimestre," - ")</f>
        <v>2.1470588235294117</v>
      </c>
      <c r="BI16" s="242">
        <f>IF(ISNUMBER('Resol  Asuntos'!D16/NºAsuntos!G16),'Resol  Asuntos'!D16/NºAsuntos!G16," - ")</f>
        <v>0.125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1</v>
      </c>
      <c r="AD17" s="333"/>
      <c r="AE17" s="483"/>
      <c r="AF17" s="331">
        <f>IF(ISNUMBER(Datos!L17),Datos!L17,"-")</f>
        <v>18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0.80952380952380953</v>
      </c>
      <c r="BH17" s="259">
        <f>IF(ISNUMBER(((IF(D_I="SI",Datos!L17/Datos!K17,(Datos!L17+Datos!AF17)/(Datos!K17+Datos!AE17)))*11)/factor_trimestre),((IF(D_I="SI",Datos!L17/Datos!K17,(Datos!L17+Datos!AF17)/(Datos!K17+Datos!AE17)))*11)/factor_trimestre," - ")</f>
        <v>2.1176470588235294</v>
      </c>
      <c r="BI17" s="242">
        <f>IF(ISNUMBER('Resol  Asuntos'!D17/NºAsuntos!G17),'Resol  Asuntos'!D17/NºAsuntos!G17," - ")</f>
        <v>0.29411764705882354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192</v>
      </c>
      <c r="G18" s="897">
        <f>SUBTOTAL(9,G15:G17)</f>
        <v>206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153</v>
      </c>
      <c r="AC18" s="898">
        <f t="shared" si="4"/>
        <v>2</v>
      </c>
      <c r="AD18" s="898">
        <f t="shared" si="4"/>
        <v>0</v>
      </c>
      <c r="AE18" s="898">
        <f t="shared" si="4"/>
        <v>0</v>
      </c>
      <c r="AF18" s="898">
        <f t="shared" si="4"/>
        <v>164</v>
      </c>
      <c r="AG18" s="898">
        <f t="shared" si="4"/>
        <v>0</v>
      </c>
      <c r="AH18" s="898">
        <f t="shared" si="4"/>
        <v>0</v>
      </c>
      <c r="AI18" s="898">
        <f t="shared" si="4"/>
        <v>0</v>
      </c>
      <c r="AJ18" s="898">
        <f t="shared" si="4"/>
        <v>0</v>
      </c>
      <c r="AK18" s="898">
        <f t="shared" si="4"/>
        <v>0</v>
      </c>
      <c r="AL18" s="898">
        <f t="shared" si="4"/>
        <v>0</v>
      </c>
      <c r="AM18" s="898">
        <f t="shared" si="4"/>
        <v>30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v>
      </c>
      <c r="BD18" s="898">
        <f t="shared" si="4"/>
        <v>111</v>
      </c>
      <c r="BE18" s="898">
        <f t="shared" si="4"/>
        <v>0</v>
      </c>
      <c r="BF18" s="898">
        <f t="shared" si="4"/>
        <v>0</v>
      </c>
      <c r="BG18" s="898">
        <f>IF(ISNUMBER(Datos!K18/Datos!J18),Datos!K18/Datos!J18," - ")</f>
        <v>1.3783783783783783</v>
      </c>
      <c r="BH18" s="902">
        <f>IF(ISNUMBER(((Datos!L18/Datos!K18)*11)/factor_trimestre),((Datos!L18/Datos!K18)*11)/factor_trimestre," - ")</f>
        <v>2.1437908496732025</v>
      </c>
      <c r="BI18" s="898">
        <f>SUBTOTAL(9,BI15:BI17)</f>
        <v>0.41911764705882354</v>
      </c>
      <c r="BJ18" s="898">
        <f>SUBTOTAL(9,BJ15:BJ17)</f>
        <v>0</v>
      </c>
      <c r="BK18" s="898">
        <f>SUBTOTAL(9,BK15:BK17)</f>
        <v>0</v>
      </c>
      <c r="BL18" s="898">
        <f>IF(ISNUMBER((I18-AB18+L18)/(F18)),(I18-AB18+L18)/(F18)," - ")</f>
        <v>-0.796875</v>
      </c>
      <c r="BM18" s="904">
        <f>IF(ISNUMBER((Datos!P18-Datos!Q18)/(Datos!R18-Datos!P18+Datos!Q18)),(Datos!P18-Datos!Q18)/(Datos!R18-Datos!P18+Datos!Q18)," - ")</f>
        <v>3.4482758620689655E-2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197</v>
      </c>
      <c r="G19" s="819">
        <f t="shared" si="6"/>
        <v>211</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153</v>
      </c>
      <c r="AC19" s="820">
        <f t="shared" si="7"/>
        <v>16</v>
      </c>
      <c r="AD19" s="820">
        <f t="shared" si="7"/>
        <v>0</v>
      </c>
      <c r="AE19" s="820">
        <f t="shared" si="7"/>
        <v>0</v>
      </c>
      <c r="AF19" s="827">
        <f t="shared" si="7"/>
        <v>171</v>
      </c>
      <c r="AG19" s="827">
        <f t="shared" si="7"/>
        <v>0</v>
      </c>
      <c r="AH19" s="827">
        <f t="shared" si="7"/>
        <v>41</v>
      </c>
      <c r="AI19" s="827">
        <f t="shared" si="7"/>
        <v>0</v>
      </c>
      <c r="AJ19" s="820">
        <f t="shared" si="7"/>
        <v>0</v>
      </c>
      <c r="AK19" s="827">
        <f t="shared" si="7"/>
        <v>0</v>
      </c>
      <c r="AL19" s="827">
        <f t="shared" si="7"/>
        <v>0</v>
      </c>
      <c r="AM19" s="827">
        <f t="shared" si="7"/>
        <v>560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v>
      </c>
      <c r="BD19" s="819">
        <f t="shared" si="7"/>
        <v>142</v>
      </c>
      <c r="BE19" s="819">
        <f t="shared" si="7"/>
        <v>0</v>
      </c>
      <c r="BF19" s="829">
        <f t="shared" si="7"/>
        <v>0</v>
      </c>
      <c r="BG19" s="914">
        <f>IF(ISNUMBER(Datos!K19/Datos!J19),Datos!K19/Datos!J19," - ")</f>
        <v>1.3860759493670887</v>
      </c>
      <c r="BH19" s="914">
        <f>IF(ISNUMBER(((Datos!L19/Datos!K19)*11)/factor_trimestre),((Datos!L19/Datos!K19)*11)/factor_trimestre," - ")</f>
        <v>3.2146118721461181</v>
      </c>
      <c r="BI19" s="812">
        <f>IF(ISNUMBER(Datos!J19/Datos!I19),Datos!J19/Datos!I19," - ")</f>
        <v>0.38256658595641646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-0.7766497461928934</v>
      </c>
      <c r="BM19" s="888">
        <f>IF(ISNUMBER((Datos!P19-Datos!Q19+R19)/(Datos!R19-Datos!P19+Datos!Q19-R19)),(Datos!P19-Datos!Q19+R19)/(Datos!R19-Datos!P19+Datos!Q19-R19)," - ")</f>
        <v>6.6666666666666666E-2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107.96450033846003</v>
      </c>
      <c r="G21" s="551">
        <f>IF(ISNUMBER(STDEV(G8:G18)),STDEV(G8:G18),"-")</f>
        <v>104.79646940617799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76.59438621726791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11.826523862347154</v>
      </c>
      <c r="BD21" s="550"/>
      <c r="BE21" s="550">
        <f>IF(ISNUMBER(STDEV(BE8:BE18)),STDEV(BE8:BE18),"-")</f>
        <v>0</v>
      </c>
      <c r="BF21" s="555">
        <f>IF(ISNUMBER(STDEV(BF8:BF18)),STDEV(BF8:BF18),"-")</f>
        <v>0</v>
      </c>
      <c r="BG21" s="774">
        <f>IF(ISNUMBER(STDEV(BG8:BG18)),STDEV(BG8:BG18),"-")</f>
        <v>0.56984566530067426</v>
      </c>
      <c r="BH21" s="775">
        <f>IF(ISNUMBER(STDEV(BH8:BH18)),STDEV(BH8:BH18),"-")</f>
        <v>1.9490900262744395</v>
      </c>
      <c r="BI21" s="248">
        <f>IF(ISNUMBER(STDEV(BI8:BI18)),STDEV(BI8:BI18),"-")</f>
        <v>0.12691814215525546</v>
      </c>
      <c r="BJ21" s="229" t="str">
        <f>IF(ISNUMBER(BL21/BM21),BL21/BM21," - ")</f>
        <v xml:space="preserve"> - </v>
      </c>
      <c r="BK21" s="574"/>
      <c r="BL21" s="558">
        <f>IF(ISNUMBER(STDEV(BL8:BL18)),STDEV(BL8:BL18),"-")</f>
        <v>0.56347571625803006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c4bxNqPDNhCKx+6RgirtR53/BiRuD7HUDsF0Ec4DD4hA2RPsjh+8vk8+13B8TTRE5FAuIjZz4ng+42IDEtGAw==" saltValue="bS2tJfHMqNKtxvTUyps3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HUESCAR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526</v>
      </c>
      <c r="AF12" s="228" t="str">
        <f>IF(ISNUMBER(Datos!BV12),Datos!BV12," - ")</f>
        <v xml:space="preserve"> - </v>
      </c>
      <c r="AG12" s="224" t="str">
        <f>IF(ISNUMBER(Datos!DV12),Datos!DV12," - ")</f>
        <v xml:space="preserve"> - </v>
      </c>
      <c r="AH12" s="297"/>
      <c r="AI12" s="226"/>
      <c r="AJ12" s="224">
        <f>IF(ISNUMBER(Datos!M12),Datos!M12," - ")</f>
        <v>28</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5.6923076923076925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6.910569105691057E-2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v>
      </c>
      <c r="AA13" s="899">
        <f t="shared" si="2"/>
        <v>7</v>
      </c>
      <c r="AB13" s="899">
        <f t="shared" si="2"/>
        <v>0</v>
      </c>
      <c r="AC13" s="899">
        <f t="shared" si="2"/>
        <v>0</v>
      </c>
      <c r="AD13" s="899">
        <f t="shared" si="2"/>
        <v>0</v>
      </c>
      <c r="AE13" s="899">
        <f t="shared" si="2"/>
        <v>530</v>
      </c>
      <c r="AF13" s="907">
        <f t="shared" si="2"/>
        <v>0</v>
      </c>
      <c r="AG13" s="907">
        <f t="shared" si="2"/>
        <v>0</v>
      </c>
      <c r="AH13" s="907">
        <f t="shared" si="2"/>
        <v>0</v>
      </c>
      <c r="AI13" s="907">
        <f t="shared" si="2"/>
        <v>0</v>
      </c>
      <c r="AJ13" s="907">
        <f t="shared" si="2"/>
        <v>28</v>
      </c>
      <c r="AK13" s="907">
        <f t="shared" si="2"/>
        <v>31</v>
      </c>
      <c r="AL13" s="907">
        <f t="shared" si="2"/>
        <v>0</v>
      </c>
      <c r="AM13" s="907">
        <f t="shared" si="2"/>
        <v>0</v>
      </c>
      <c r="AN13" s="907">
        <f t="shared" si="2"/>
        <v>0</v>
      </c>
      <c r="AO13" s="903">
        <f>IF(ISNUMBER(((NºAsuntos!I13/NºAsuntos!G13)*11)/factor_trimestre),((NºAsuntos!I13/NºAsuntos!G13)*11)/factor_trimestre," - ")</f>
        <v>5.8717948717948723</v>
      </c>
      <c r="AP13" s="909" t="str">
        <f>IF(ISNUMBER(Datos!CI13/Datos!CJ13),Datos!CI13/Datos!CJ13," - ")</f>
        <v xml:space="preserve"> - </v>
      </c>
      <c r="AQ13" s="927">
        <f t="shared" ref="AQ13:AV13" si="3">SUBTOTAL(9,AQ9:AQ12)</f>
        <v>0</v>
      </c>
      <c r="AR13" s="927">
        <f t="shared" si="3"/>
        <v>6.910569105691057E-2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192</v>
      </c>
      <c r="G16" s="224">
        <f>IF(ISNUMBER(IF(D_I="SI",Datos!I16,Datos!I16+Datos!AC16)),IF(D_I="SI",Datos!I16,Datos!I16+Datos!AC16)," - ")</f>
        <v>192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136</v>
      </c>
      <c r="Z16" s="618">
        <f>IF(ISNUMBER(Datos!Q16),Datos!Q16," - ")</f>
        <v>1</v>
      </c>
      <c r="AA16" s="331">
        <f>IF(ISNUMBER(IF(D_I="SI",Datos!L16,Datos!L16+Datos!AF16)),IF(D_I="SI",Datos!L16,Datos!L16+Datos!AF16)," - ")</f>
        <v>146</v>
      </c>
      <c r="AB16" s="333"/>
      <c r="AC16" s="333"/>
      <c r="AD16" s="483"/>
      <c r="AE16" s="483">
        <f>IF(ISNUMBER(Datos!R16),Datos!R16," - ")</f>
        <v>28</v>
      </c>
      <c r="AF16" s="228" t="str">
        <f>IF(ISNUMBER(Datos!BV16),Datos!BV16," - ")</f>
        <v xml:space="preserve"> - </v>
      </c>
      <c r="AG16" s="224"/>
      <c r="AH16" s="297"/>
      <c r="AI16" s="226"/>
      <c r="AJ16" s="224">
        <f>IF(ISNUMBER(Datos!M16),Datos!M16," - ")</f>
        <v>17</v>
      </c>
      <c r="AK16" s="228">
        <f>IF(ISNUMBER(Datos!N16),Datos!N16," - ")</f>
        <v>102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2.1470588235294117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1</v>
      </c>
      <c r="AA17" s="331">
        <f>IF(ISNUMBER(Datos!L17),Datos!L17,"-")</f>
        <v>18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2.1176470588235294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192</v>
      </c>
      <c r="G18" s="897">
        <f>SUBTOTAL(9,G15:G17)</f>
        <v>206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153</v>
      </c>
      <c r="Z18" s="931">
        <f t="shared" si="5"/>
        <v>2</v>
      </c>
      <c r="AA18" s="931">
        <f t="shared" si="5"/>
        <v>164</v>
      </c>
      <c r="AB18" s="931">
        <f t="shared" si="5"/>
        <v>0</v>
      </c>
      <c r="AC18" s="931">
        <f t="shared" si="5"/>
        <v>0</v>
      </c>
      <c r="AD18" s="931">
        <f t="shared" si="5"/>
        <v>0</v>
      </c>
      <c r="AE18" s="931">
        <f t="shared" si="5"/>
        <v>30</v>
      </c>
      <c r="AF18" s="931">
        <f t="shared" si="5"/>
        <v>0</v>
      </c>
      <c r="AG18" s="931">
        <f t="shared" si="5"/>
        <v>0</v>
      </c>
      <c r="AH18" s="931">
        <f t="shared" si="5"/>
        <v>0</v>
      </c>
      <c r="AI18" s="931">
        <f t="shared" si="5"/>
        <v>0</v>
      </c>
      <c r="AJ18" s="931">
        <f t="shared" si="5"/>
        <v>22</v>
      </c>
      <c r="AK18" s="931">
        <f t="shared" si="5"/>
        <v>111</v>
      </c>
      <c r="AL18" s="931">
        <f t="shared" si="5"/>
        <v>0</v>
      </c>
      <c r="AM18" s="931">
        <f t="shared" si="5"/>
        <v>0</v>
      </c>
      <c r="AN18" s="931">
        <f t="shared" si="5"/>
        <v>0</v>
      </c>
      <c r="AO18" s="933">
        <f>IF(ISNUMBER(((NºAsuntos!I18/NºAsuntos!G18)*11)/factor_trimestre),((NºAsuntos!I18/NºAsuntos!G18)*11)/factor_trimestre," - ")</f>
        <v>2.1437908496732025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197</v>
      </c>
      <c r="G19" s="819">
        <f t="shared" si="7"/>
        <v>211</v>
      </c>
      <c r="H19" s="820">
        <f t="shared" si="7"/>
        <v>0</v>
      </c>
      <c r="I19" s="819">
        <f t="shared" si="7"/>
        <v>0</v>
      </c>
      <c r="J19" s="821">
        <f t="shared" si="7"/>
        <v>0</v>
      </c>
      <c r="K19" s="819">
        <f t="shared" si="7"/>
        <v>0</v>
      </c>
      <c r="L19" s="822">
        <f t="shared" si="7"/>
        <v>0</v>
      </c>
      <c r="M19" s="819">
        <f t="shared" si="7"/>
        <v>0</v>
      </c>
      <c r="N19" s="820">
        <f t="shared" si="7"/>
        <v>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153</v>
      </c>
      <c r="Z19" s="826">
        <f t="shared" si="8"/>
        <v>16</v>
      </c>
      <c r="AA19" s="827">
        <f t="shared" si="8"/>
        <v>171</v>
      </c>
      <c r="AB19" s="827">
        <f t="shared" si="8"/>
        <v>0</v>
      </c>
      <c r="AC19" s="827">
        <f t="shared" si="8"/>
        <v>0</v>
      </c>
      <c r="AD19" s="828">
        <f t="shared" si="8"/>
        <v>0</v>
      </c>
      <c r="AE19" s="828">
        <f t="shared" si="8"/>
        <v>560</v>
      </c>
      <c r="AF19" s="829">
        <f t="shared" si="8"/>
        <v>0</v>
      </c>
      <c r="AG19" s="830">
        <f t="shared" si="8"/>
        <v>0</v>
      </c>
      <c r="AH19" s="831">
        <f t="shared" si="8"/>
        <v>0</v>
      </c>
      <c r="AI19" s="829">
        <f t="shared" si="8"/>
        <v>0</v>
      </c>
      <c r="AJ19" s="819">
        <f t="shared" si="8"/>
        <v>50</v>
      </c>
      <c r="AK19" s="819">
        <f t="shared" si="8"/>
        <v>142</v>
      </c>
      <c r="AL19" s="819">
        <f t="shared" si="8"/>
        <v>0</v>
      </c>
      <c r="AM19" s="832">
        <f t="shared" si="8"/>
        <v>0</v>
      </c>
      <c r="AN19" s="822">
        <f>IF(ISNUMBER(Datos!K19/Datos!J19),Datos!K19/Datos!J19," - ")</f>
        <v>1.3860759493670887</v>
      </c>
      <c r="AO19" s="822">
        <f>IF(ISNUMBER(FIND("06",Criterios!A8,1)),(IF(ISNUMBER(((Datos!R19/Datos!Q19)*11)/factor_trimestre),((Datos!R19/Datos!Q19)*11)/factor_trimestre," - ")),(IF(ISNUMBER(((Datos!L19/Datos!K19)*11)/factor_trimestre),((Datos!L19/Datos!K19)*11)/factor_trimestre," - ")))</f>
        <v>3.2146118721461181</v>
      </c>
      <c r="AP19" s="833" t="str">
        <f>IF(ISNUMBER(Datos!CI19/Datos!CJ19),Datos!CI19/Datos!CJ19," - ")</f>
        <v xml:space="preserve"> - </v>
      </c>
      <c r="AQ19" s="833">
        <f>IF(OR(ISNUMBER(FIND("01",Criterios!A8,1)),ISNUMBER(FIND("02",Criterios!A8,1)),ISNUMBER(FIND("03",Criterios!A8,1)),ISNUMBER(FIND("04",Criterios!A8,1))),(J19-Y19+K19)/(F19-K19),(I19-Y19+K19)/(F19-K19))</f>
        <v>-0.7766497461928934</v>
      </c>
      <c r="AR19" s="833">
        <f>IF(ISNUMBER((Datos!P19-Datos!Q19+O19)/(Datos!R19-Datos!P19+Datos!Q19-O19)),(Datos!P19-Datos!Q19+O19)/(Datos!R19-Datos!P19+Datos!Q19-O19)," - ")</f>
        <v>6.6666666666666666E-2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107.96450033846003</v>
      </c>
      <c r="G21" s="551">
        <f>IF(ISNUMBER(STDEV(G8:G18)),STDEV(G8:G18),"-")</f>
        <v>104.79646940617799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11.826523862347154</v>
      </c>
      <c r="AK21" s="251"/>
      <c r="AL21" s="251">
        <f>IF(ISNUMBER(STDEV(AL8:AL18)),STDEV(AL8:AL18),"-")</f>
        <v>0</v>
      </c>
      <c r="AM21" s="253">
        <f>IF(ISNUMBER(STDEV(AM8:AM18)),STDEV(AM8:AM18),"-")</f>
        <v>0</v>
      </c>
      <c r="AN21" s="538">
        <f>IF(ISNUMBER(STDEV(AN8:AN18)),STDEV(AN8:AN18),"-")</f>
        <v>0</v>
      </c>
      <c r="AO21" s="539">
        <f>IF(ISNUMBER(STDEV(AO8:AO18)),STDEV(AO8:AO18),"-")</f>
        <v>1.9979743900437412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FTsnVplnzyqTvhmwoOBUyaSEiFSx4Fh3aYno2wXj8eU7YRNZgILRJfU5LBQF49QFA4FubMLb6ZbhDHrToQVVQ==" saltValue="I4ULUpGxBiWe05vLhDUE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JEEHIOIS0NIA/s51viiSeFXqQEMiqmoFX/z1jBEWVaqXdTday7wZAoNeVJSNQNFgfIO5eObs2okbDGpQEtIjw==" saltValue="8wbO58Bzilk+mvKEqjBV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jg0Jnx4UX9p/sBkbLjaxBkouPeD4NGamQlt9abDdjkttG82OSQznoM82Ja/p4nqMDfrNfFDGAQGv+8tSbP3AQ==" saltValue="mk19i+rhOjNTaBcD0PVU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0.35897435897435898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0.2538332035028632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4AX/FduDnC2BK8LHzVNgD6P9APez0G7/htboOHXN0DDq3mjiGg6qfLQFO2pDKx9zNCYd5W9JcxT28rAOUYcM8A==" saltValue="TFUQqZDj0LWzs3jR/fvv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DmvBbsV5xM4Q/oCgVF+d0mk+IwmiSZvGBl3ychxXw0wHZJ2Cd+QMh5m6CfSDXy2yPw0nfrRivOeLyeolsnm7A==" saltValue="vOMNVatoPb8PIUEyCh2W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HUESCAR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0</v>
      </c>
      <c r="H10" s="403">
        <f>IF(ISNUMBER(G10/B10),G10/B10," - ")</f>
        <v>0</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234</v>
      </c>
      <c r="D12" s="403">
        <f>IF(ISNUMBER(C12/Datos!BH12),C12/Datos!BH12," - ")</f>
        <v>234</v>
      </c>
      <c r="E12" s="402">
        <f>IF(ISNUMBER(IF(J_V="SI",Datos!J12,Datos!J12+Datos!Z12)),IF(J_V="SI",Datos!J12,Datos!J12+Datos!Z12)," - ")</f>
        <v>66</v>
      </c>
      <c r="F12" s="403">
        <f>IF(ISNUMBER(E12/B12),E12/B12," - ")</f>
        <v>66</v>
      </c>
      <c r="G12" s="402">
        <f>IF(ISNUMBER(IF(J_V="SI",Datos!K12,Datos!K12+Datos!AA12)),IF(J_V="SI",Datos!K12,Datos!K12+Datos!AA12)," - ")</f>
        <v>78</v>
      </c>
      <c r="H12" s="403">
        <f>IF(ISNUMBER(G12/B12),G12/B12," - ")</f>
        <v>78</v>
      </c>
      <c r="I12" s="402">
        <f>IF(ISNUMBER(IF(J_V="SI",Datos!L12,Datos!L12+Datos!AB12)),IF(J_V="SI",Datos!L12,Datos!L12+Datos!AB12)," - ")</f>
        <v>222</v>
      </c>
      <c r="J12" s="403">
        <f>IF(ISNUMBER(I12/B12),I12/B12," - ")</f>
        <v>222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239</v>
      </c>
      <c r="D13" s="849" t="str">
        <f>IF(ISNUMBER(C13/Datos!BI13),C13/Datos!BI13," - ")</f>
        <v xml:space="preserve"> - </v>
      </c>
      <c r="E13" s="848">
        <f>SUBTOTAL(9,E8:E12)</f>
        <v>68</v>
      </c>
      <c r="F13" s="849">
        <f>IF(ISNUMBER(E13/B13),E13/B13," - ")</f>
        <v>68</v>
      </c>
      <c r="G13" s="848">
        <f>SUBTOTAL(9,G8:G12)</f>
        <v>78</v>
      </c>
      <c r="H13" s="849">
        <f>IF(ISNUMBER(G13/B13),G13/B13," - ")</f>
        <v>78</v>
      </c>
      <c r="I13" s="848">
        <f>SUBTOTAL(9,I8:I12)</f>
        <v>229</v>
      </c>
      <c r="J13" s="849">
        <f>IF(ISNUMBER(I13/B13),I13/B13," - ")</f>
        <v>229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192</v>
      </c>
      <c r="D16" s="403">
        <f>IF(ISNUMBER(C16/Datos!BH16),C16/Datos!BH16," - ")</f>
        <v>192</v>
      </c>
      <c r="E16" s="402">
        <f>IF(ISNUMBER(IF(D_I="SI",Datos!J16,Datos!J16+Datos!AD16)),IF(D_I="SI",Datos!J16,Datos!J16+Datos!AD16)," - ")</f>
        <v>90</v>
      </c>
      <c r="F16" s="403">
        <f>IF(ISNUMBER(E16/B16),E16/B16," - ")</f>
        <v>90</v>
      </c>
      <c r="G16" s="402">
        <f>IF(ISNUMBER(IF(D_I="SI",Datos!K16,Datos!K16+Datos!AE16)),IF(D_I="SI",Datos!K16,Datos!K16+Datos!AE16)," - ")</f>
        <v>136</v>
      </c>
      <c r="H16" s="403">
        <f>IF(ISNUMBER(G16/B16),G16/B16," - ")</f>
        <v>136</v>
      </c>
      <c r="I16" s="402">
        <f>IF(ISNUMBER(IF(D_I="SI",Datos!L16,Datos!L16+Datos!AF16)),IF(D_I="SI",Datos!L16,Datos!L16+Datos!AF16)," - ")</f>
        <v>146</v>
      </c>
      <c r="J16" s="403">
        <f>IF(ISNUMBER(I16/B16),I16/B16," - ")</f>
        <v>146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21</v>
      </c>
      <c r="F17" s="403">
        <f>IF(ISNUMBER(E17/B17),E17/B17," - ")</f>
        <v>21</v>
      </c>
      <c r="G17" s="402">
        <f>IF(ISNUMBER(IF(D_I="SI",Datos!K17,Datos!K17+Datos!AE17)),IF(D_I="SI",Datos!K17,Datos!K17+Datos!AE17)," - ")</f>
        <v>17</v>
      </c>
      <c r="H17" s="403">
        <f>IF(ISNUMBER(G17/B17),G17/B17," - ")</f>
        <v>17</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206</v>
      </c>
      <c r="D18" s="849" t="str">
        <f>IF(ISNUMBER(C18/Datos!BI18),C18/Datos!BI18," - ")</f>
        <v xml:space="preserve"> - </v>
      </c>
      <c r="E18" s="848">
        <f>SUBTOTAL(9,E14:E17)</f>
        <v>111</v>
      </c>
      <c r="F18" s="849">
        <f>IF(ISNUMBER(E18/B18),E18/B18," - ")</f>
        <v>111</v>
      </c>
      <c r="G18" s="848">
        <f>SUBTOTAL(9,G14:G17)</f>
        <v>153</v>
      </c>
      <c r="H18" s="849">
        <f>IF(ISNUMBER(G18/B18),G18/B18," - ")</f>
        <v>153</v>
      </c>
      <c r="I18" s="848">
        <f>SUBTOTAL(9,I14:I17)</f>
        <v>164</v>
      </c>
      <c r="J18" s="849">
        <f>IF(ISNUMBER(I18/B18),I18/B18," - ")</f>
        <v>164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445</v>
      </c>
      <c r="D19" s="794" t="str">
        <f>IF(ISNUMBER(C19/Datos!BI19),C19/Datos!BI19," - ")</f>
        <v xml:space="preserve"> - </v>
      </c>
      <c r="E19" s="793">
        <f>SUBTOTAL(9,E9:E18)</f>
        <v>179</v>
      </c>
      <c r="F19" s="794">
        <f>IF(ISNUMBER(E19/B19),E19/B19," - ")</f>
        <v>179</v>
      </c>
      <c r="G19" s="793">
        <f>SUBTOTAL(9,G9:G18)</f>
        <v>231</v>
      </c>
      <c r="H19" s="794">
        <f>IF(ISNUMBER(G19/B19),G19/B19," - ")</f>
        <v>231</v>
      </c>
      <c r="I19" s="793">
        <f>SUBTOTAL(9,I9:I18)</f>
        <v>393</v>
      </c>
      <c r="J19" s="794">
        <f>IF(ISNUMBER(I19/B19),I19/B19," - ")</f>
        <v>393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Aml/lTI7IbhNXwai++3nrBn/zS5+TdRUpHn380TZKKXilssG6mHgIauJBLvdZQDBvRZNVMNvfiPqm/whrnjg==" saltValue="jupndXX9aZmfgy2tJPcC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HUESCAR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5.6923076923076925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6.910569105691057E-2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v>
      </c>
      <c r="AE13" s="938">
        <f t="shared" si="1"/>
        <v>0</v>
      </c>
      <c r="AF13" s="938">
        <f t="shared" si="1"/>
        <v>7</v>
      </c>
      <c r="AG13" s="938">
        <f t="shared" si="1"/>
        <v>0</v>
      </c>
      <c r="AH13" s="938">
        <f t="shared" si="1"/>
        <v>526</v>
      </c>
      <c r="AI13" s="938">
        <f t="shared" si="1"/>
        <v>0</v>
      </c>
      <c r="AJ13" s="938">
        <f t="shared" si="1"/>
        <v>0</v>
      </c>
      <c r="AK13" s="938">
        <f t="shared" si="1"/>
        <v>0</v>
      </c>
      <c r="AL13" s="938">
        <f t="shared" si="1"/>
        <v>28</v>
      </c>
      <c r="AM13" s="938">
        <f t="shared" si="1"/>
        <v>31</v>
      </c>
      <c r="AN13" s="938">
        <f t="shared" si="1"/>
        <v>0</v>
      </c>
      <c r="AO13" s="938">
        <f t="shared" si="1"/>
        <v>0</v>
      </c>
      <c r="AP13" s="943">
        <f>IF(ISNUMBER(((Datos!L13/Datos!K13)*11)/factor_trimestre),((Datos!L13/Datos!K13)*11)/factor_trimestre," - ")</f>
        <v>5.6969696969696972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6.910569105691057E-2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2.1437908496732025</v>
      </c>
      <c r="AQ18" s="943">
        <f>IF(ISNUMBER(((Datos!M18/Datos!L18)*11)/factor_trimestre),((Datos!M18/Datos!L18)*11)/factor_trimestre," - ")</f>
        <v>0.26829268292682928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3.4482758620689655E-2</v>
      </c>
      <c r="AW18" s="945">
        <f>IF(ISNUMBER((Datos!Q18-Datos!R18)/(Datos!S18-Datos!Q18+Datos!R18)),(Datos!Q18-Datos!R18)/(Datos!S18-Datos!Q18+Datos!R18)," - ")</f>
        <v>-0.16279069767441862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v>
      </c>
      <c r="AE19" s="956">
        <f t="shared" si="5"/>
        <v>0</v>
      </c>
      <c r="AF19" s="957">
        <f t="shared" si="5"/>
        <v>7</v>
      </c>
      <c r="AG19" s="957">
        <f t="shared" si="5"/>
        <v>0</v>
      </c>
      <c r="AH19" s="957">
        <f t="shared" si="5"/>
        <v>526</v>
      </c>
      <c r="AI19" s="957">
        <f t="shared" si="5"/>
        <v>0</v>
      </c>
      <c r="AJ19" s="958">
        <f t="shared" si="5"/>
        <v>0</v>
      </c>
      <c r="AK19" s="958">
        <f t="shared" si="5"/>
        <v>0</v>
      </c>
      <c r="AL19" s="950">
        <f t="shared" si="5"/>
        <v>28</v>
      </c>
      <c r="AM19" s="950">
        <f t="shared" si="5"/>
        <v>31</v>
      </c>
      <c r="AN19" s="950">
        <f t="shared" si="5"/>
        <v>0</v>
      </c>
      <c r="AO19" s="950">
        <f t="shared" si="5"/>
        <v>0</v>
      </c>
      <c r="AP19" s="950">
        <f>IF(ISNUMBER(((Datos!L19/Datos!K19)*11)/factor_trimestre),((Datos!L19/Datos!K19)*11)/factor_trimestre," - ")</f>
        <v>3.2146118721461181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6.6666666666666666E-2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16.165807537309522</v>
      </c>
      <c r="AM21" s="735"/>
      <c r="AN21" s="735">
        <f>IF(ISNUMBER(STDEV(AN8:AN18)),STDEV(AN8:AN18),"-")</f>
        <v>0</v>
      </c>
      <c r="AO21" s="741">
        <f>IF(ISNUMBER(STDEV(AO8:AO18)),STDEV(AO8:AO18),"-")</f>
        <v>0</v>
      </c>
      <c r="AP21" s="778">
        <f>IF(ISNUMBER(STDEV(AP8:AP18)),STDEV(AP8:AP18),"-")</f>
        <v>2.0500842843496048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cOA80w3gchxEJ9sRbp4w9CcU2ps4K+HG7SndjtJssl043FWOPZAMO8GdVbB/wpfAIv45MLqZqyz8eBWAg7odw==" saltValue="UEP/x9XM7dL7b+4Kbaic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HUESCAR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2EwGr8HnVUe4JkxRX+9MCW1uTU/pxI+TK7g/RLMqfftRozJ4+xs5W4+Lp9A7/k+LhPvf3cxExEjNPgsHonzzw==" saltValue="ABD3Y42yxaFffQLEKF4l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HUESCAR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v>
      </c>
      <c r="E12" s="403">
        <f t="shared" si="0"/>
        <v>28</v>
      </c>
      <c r="F12" s="402">
        <f>IF(ISNUMBER(Datos!N12),Datos!N12," - ")</f>
        <v>31</v>
      </c>
      <c r="G12" s="403">
        <f t="shared" si="1"/>
        <v>31</v>
      </c>
      <c r="H12" s="402">
        <f>IF(ISNUMBER(Datos!O12),Datos!O12," - ")</f>
        <v>33</v>
      </c>
      <c r="I12" s="403">
        <f t="shared" si="2"/>
        <v>33</v>
      </c>
      <c r="BZ12" s="1185">
        <f>Datos!EZ12</f>
        <v>0</v>
      </c>
    </row>
    <row r="13" spans="1:78" ht="14.25" thickTop="1" thickBot="1">
      <c r="A13" s="847" t="str">
        <f>Datos!A13</f>
        <v>TOTAL</v>
      </c>
      <c r="B13" s="848">
        <f>Datos!AP13</f>
        <v>1</v>
      </c>
      <c r="C13" s="850">
        <f>Datos!AR13</f>
        <v>1</v>
      </c>
      <c r="D13" s="848">
        <f>SUBTOTAL(9,D9:D12)</f>
        <v>28</v>
      </c>
      <c r="E13" s="849">
        <f t="shared" si="0"/>
        <v>28</v>
      </c>
      <c r="F13" s="848">
        <f>SUBTOTAL(9,F9:F12)</f>
        <v>31</v>
      </c>
      <c r="G13" s="849">
        <f t="shared" si="1"/>
        <v>31</v>
      </c>
      <c r="H13" s="848">
        <f>SUBTOTAL(9,H9:H12)</f>
        <v>33</v>
      </c>
      <c r="I13" s="849">
        <f>IF(ISNUMBER(H13/B13),H13/B13," - ")</f>
        <v>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102</v>
      </c>
      <c r="G16" s="403">
        <f t="shared" si="4"/>
        <v>102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22</v>
      </c>
      <c r="E18" s="849">
        <f t="shared" si="3"/>
        <v>22</v>
      </c>
      <c r="F18" s="848">
        <f>SUBTOTAL(9,F15:F17)</f>
        <v>111</v>
      </c>
      <c r="G18" s="849">
        <f t="shared" si="4"/>
        <v>111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50</v>
      </c>
      <c r="E19" s="794">
        <f>IF(ISNUMBER(D19/B19),D19/B19," - ")</f>
        <v>50</v>
      </c>
      <c r="F19" s="793">
        <f>SUBTOTAL(9,F8:F18)</f>
        <v>142</v>
      </c>
      <c r="G19" s="794">
        <f>IF(ISNUMBER(F19/B19),F19/B19," - ")</f>
        <v>142</v>
      </c>
      <c r="H19" s="793">
        <f>SUBTOTAL(9,H8:H18)</f>
        <v>33</v>
      </c>
      <c r="I19" s="794">
        <f>IF(ISNUMBER(H19/B19),H19/B19," - ")</f>
        <v>33</v>
      </c>
    </row>
    <row r="22" spans="1:78">
      <c r="A22" s="390" t="str">
        <f>Criterios!A4</f>
        <v>Fecha Informe: 09 dic. 2025</v>
      </c>
    </row>
    <row r="27" spans="1:78">
      <c r="A27" s="413"/>
    </row>
  </sheetData>
  <sheetProtection algorithmName="SHA-512" hashValue="EMf6+OYnRy5lpysE6pY+j/1IuKWc43V3t/amTtYJRH8+DLPHXmZWdI/fW3gQ2m0+ytat+vRVNfa6QU92KDF5kw==" saltValue="+TPY0259gMQngX+//LdJ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HUESCAR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14</v>
      </c>
      <c r="D12" s="407">
        <f>IF(ISNUMBER(Datos!R12),Datos!R12," - ")</f>
        <v>526</v>
      </c>
    </row>
    <row r="13" spans="1:4" ht="14.25" thickTop="1" thickBot="1">
      <c r="A13" s="847" t="str">
        <f>Datos!A13</f>
        <v>TOTAL</v>
      </c>
      <c r="B13" s="848">
        <f>SUBTOTAL(9,B9:B12)</f>
        <v>48</v>
      </c>
      <c r="C13" s="852">
        <f>SUBTOTAL(9,C9:C12)</f>
        <v>14</v>
      </c>
      <c r="D13" s="850">
        <f>SUBTOTAL(9,D9:D12)</f>
        <v>530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v>
      </c>
      <c r="D16" s="407">
        <f>IF(ISNUMBER(Datos!R16),Datos!R16," - ")</f>
        <v>28</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3</v>
      </c>
      <c r="C18" s="852">
        <f>SUBTOTAL(9,C15:C17)</f>
        <v>2</v>
      </c>
      <c r="D18" s="850">
        <f>SUBTOTAL(9,D15:D17)</f>
        <v>30</v>
      </c>
    </row>
    <row r="19" spans="1:4" ht="16.5" customHeight="1" thickTop="1" thickBot="1">
      <c r="A19" s="792" t="str">
        <f>Datos!A19</f>
        <v>TOTAL JURISDICCIONES</v>
      </c>
      <c r="B19" s="797">
        <f>SUBTOTAL(9,B8:B18)</f>
        <v>51</v>
      </c>
      <c r="C19" s="798">
        <f>SUBTOTAL(9,C8:C18)</f>
        <v>16</v>
      </c>
      <c r="D19" s="799">
        <f>SUBTOTAL(9,D8:D18)</f>
        <v>560</v>
      </c>
    </row>
    <row r="20" spans="1:4" ht="7.5" customHeight="1"/>
    <row r="21" spans="1:4" ht="6" customHeight="1"/>
    <row r="22" spans="1:4">
      <c r="A22" s="390" t="str">
        <f>Criterios!A4</f>
        <v>Fecha Informe: 09 dic. 2025</v>
      </c>
    </row>
    <row r="27" spans="1:4">
      <c r="A27" s="413"/>
    </row>
  </sheetData>
  <sheetProtection algorithmName="SHA-512" hashValue="/8RviMIJn2DMciVuj/dZTjDTh7FsbrCdNe2WExmRs6LGMtAj153ya83AyFTUq3ISDR3nDtL7YPLbVT1/dJe+vw==" saltValue="uIckmc6HPXxj9vdVbX15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HUESCAR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-0.6</v>
      </c>
      <c r="D10" s="455">
        <f>IF(ISNUMBER((Datos!K10-Datos!U10)/Datos!U10),(Datos!K10-Datos!U10)/Datos!U10," - ")</f>
        <v>-1</v>
      </c>
      <c r="E10" s="455">
        <f>IF(ISNUMBER((Datos!L10-Datos!V10)/Datos!V10),(Datos!L10-Datos!V10)/Datos!V10," - ")</f>
        <v>-0.125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-0.12686567164179105</v>
      </c>
      <c r="C12" s="455">
        <f>IF(ISNUMBER(
   IF(J_V="SI",(Datos!J12-Datos!T12)/Datos!T12,(Datos!J12+Datos!Z12-(Datos!T12+Datos!AH12))/(Datos!T12+Datos!AH12))
     ),IF(J_V="SI",(Datos!J12-Datos!T12)/Datos!T12,(Datos!J12+Datos!Z12-(Datos!T12+Datos!AH12))/(Datos!T12+Datos!AH12))," - ")</f>
        <v>-0.47199999999999998</v>
      </c>
      <c r="D12" s="455">
        <f>IF(ISNUMBER(
   IF(J_V="SI",(Datos!K12-Datos!U12)/Datos!U12,(Datos!K12+Datos!AA12-(Datos!U12+Datos!AI12))/(Datos!U12+Datos!AI12))
     ),IF(J_V="SI",(Datos!K12-Datos!U12)/Datos!U12,(Datos!K12+Datos!AA12-(Datos!U12+Datos!AI12))/(Datos!U12+Datos!AI12))," - ")</f>
        <v>-6.0240963855421686E-2</v>
      </c>
      <c r="E12" s="455">
        <f>IF(ISNUMBER(
   IF(J_V="SI",(Datos!L12-Datos!V12)/Datos!V12,(Datos!L12+Datos!AB12-(Datos!V12+Datos!AJ12))/(Datos!V12+Datos!AJ12))
     ),IF(J_V="SI",(Datos!L12-Datos!V12)/Datos!V12,(Datos!L12+Datos!AB12-(Datos!V12+Datos!AJ12))/(Datos!V12+Datos!AJ12))," - ")</f>
        <v>-0.28387096774193549</v>
      </c>
      <c r="F12" s="455">
        <f>IF(ISNUMBER((Datos!M12-Datos!W12)/Datos!W12),(Datos!M12-Datos!W12)/Datos!W12," - ")</f>
        <v>0.21739130434782608</v>
      </c>
      <c r="G12" s="456">
        <f>IF(ISNUMBER((Datos!N12-Datos!X12)/Datos!X12),(Datos!N12-Datos!X12)/Datos!X12," - ")</f>
        <v>6.8965517241379309E-2</v>
      </c>
      <c r="H12" s="454">
        <f>IF(ISNUMBER(((NºAsuntos!G12/NºAsuntos!E12)-Datos!BD12)/Datos!BD12),((NºAsuntos!G12/NºAsuntos!E12)-Datos!BD12)/Datos!BD12," - ")</f>
        <v>0.77984665936473163</v>
      </c>
      <c r="I12" s="455">
        <f>IF(ISNUMBER(((NºAsuntos!I12/NºAsuntos!G12)-Datos!BE12)/Datos!BE12),((NºAsuntos!I12/NºAsuntos!G12)-Datos!BE12)/Datos!BE12," - ")</f>
        <v>-0.23796526054590564</v>
      </c>
      <c r="J12" s="460">
        <f>IF(ISNUMBER((('Resol  Asuntos'!D12/NºAsuntos!G12)-Datos!BF12)/Datos!BF12),(('Resol  Asuntos'!D12/NºAsuntos!G12)-Datos!BF12)/Datos!BF12," - ")</f>
        <v>2.7409372236958406E-2</v>
      </c>
      <c r="K12" s="461">
        <f>IF(ISNUMBER((((NºAsuntos!C12+NºAsuntos!E12)/NºAsuntos!G12)-Datos!BG12)/Datos!BG12),(((NºAsuntos!C12+NºAsuntos!E12)/NºAsuntos!G12)-Datos!BG12)/Datos!BG12," - ")</f>
        <v>-0.18770796633392056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-0.12454212454212454</v>
      </c>
      <c r="C13" s="854">
        <f>IF(ISNUMBER(
   IF(J_V="SI",(Datos!J13-Datos!T13)/Datos!T13,(Datos!J13+Datos!Z13-(Datos!T13+Datos!AH13))/(Datos!T13+Datos!AH13))
     ),IF(J_V="SI",(Datos!J13-Datos!T13)/Datos!T13,(Datos!J13+Datos!Z13-(Datos!T13+Datos!AH13))/(Datos!T13+Datos!AH13))," - ")</f>
        <v>-0.47692307692307695</v>
      </c>
      <c r="D13" s="854">
        <f>IF(ISNUMBER(
   IF(J_V="SI",(Datos!K13-Datos!U13)/Datos!U13,(Datos!K13+Datos!AA13-(Datos!U13+Datos!AI13))/(Datos!U13+Datos!AI13))
     ),IF(J_V="SI",(Datos!K13-Datos!U13)/Datos!U13,(Datos!K13+Datos!AA13-(Datos!U13+Datos!AI13))/(Datos!U13+Datos!AI13))," - ")</f>
        <v>-8.2352941176470587E-2</v>
      </c>
      <c r="E13" s="854">
        <f>IF(ISNUMBER(
   IF(J_V="SI",(Datos!L13-Datos!V13)/Datos!V13,(Datos!L13+Datos!AB13-(Datos!V13+Datos!AJ13))/(Datos!V13+Datos!AJ13))
     ),IF(J_V="SI",(Datos!L13-Datos!V13)/Datos!V13,(Datos!L13+Datos!AB13-(Datos!V13+Datos!AJ13))/(Datos!V13+Datos!AJ13))," - ")</f>
        <v>-0.27987421383647798</v>
      </c>
      <c r="F13" s="855">
        <f>IF(ISNUMBER((Datos!M13-Datos!W13)/Datos!W13),(Datos!M13-Datos!W13)/Datos!W13," - ")</f>
        <v>0.21739130434782608</v>
      </c>
      <c r="G13" s="856">
        <f>IF(ISNUMBER((Datos!N13-Datos!X13)/Datos!X13),(Datos!N13-Datos!X13)/Datos!X13," - ")</f>
        <v>6.8965517241379309E-2</v>
      </c>
      <c r="H13" s="856">
        <f>IF(ISNUMBER(((NºAsuntos!G13/NºAsuntos!E13)-Datos!BD13)/Datos!BD13),((NºAsuntos!G13/NºAsuntos!E13)-Datos!BD13)/Datos!BD13," - ")</f>
        <v>0.75432525951557083</v>
      </c>
      <c r="I13" s="856">
        <f>IF(ISNUMBER(((NºAsuntos!I13/NºAsuntos!G13)-Datos!BE13)/Datos!BE13),((NºAsuntos!I13/NºAsuntos!G13)-Datos!BE13)/Datos!BE13," - ")</f>
        <v>-0.21524754071923891</v>
      </c>
      <c r="J13" s="856">
        <f>IF(ISNUMBER((('Resol  Asuntos'!D13/NºAsuntos!G13)-Datos!BF13)/Datos!BF13),(('Resol  Asuntos'!D13/NºAsuntos!G13)-Datos!BF13)/Datos!BF13," - ")</f>
        <v>5.2166224580017656E-2</v>
      </c>
      <c r="K13" s="856">
        <f>IF(ISNUMBER((((NºAsuntos!C13+NºAsuntos!E13)/NºAsuntos!G13)-Datos!BG13)/Datos!BG13),(((NºAsuntos!C13+NºAsuntos!E13)/NºAsuntos!G13)-Datos!BG13)/Datos!BG13," - ")</f>
        <v>-0.16984793535662027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0.51181102362204722</v>
      </c>
      <c r="C16" s="455">
        <f>IF(ISNUMBER(
   IF(D_I="SI",(Datos!J16-Datos!T16)/Datos!T16,(Datos!J16+Datos!AD16-(Datos!T16+Datos!AL16))/(Datos!T16+Datos!AL16))
     ),IF(D_I="SI",(Datos!J16-Datos!T16)/Datos!T16,(Datos!J16+Datos!AD16-(Datos!T16+Datos!AL16))/(Datos!T16+Datos!AL16))," - ")</f>
        <v>-0.21052631578947367</v>
      </c>
      <c r="D16" s="455">
        <f>IF(ISNUMBER(
   IF(D_I="SI",(Datos!K16-Datos!U16)/Datos!U16,(Datos!K16+Datos!AE16-(Datos!U16+Datos!AM16))/(Datos!U16+Datos!AM16))
     ),IF(D_I="SI",(Datos!K16-Datos!U16)/Datos!U16,(Datos!K16+Datos!AE16-(Datos!U16+Datos!AM16))/(Datos!U16+Datos!AM16))," - ")</f>
        <v>0.32038834951456313</v>
      </c>
      <c r="E16" s="455">
        <f>IF(ISNUMBER(
   IF(D_I="SI",(Datos!L16-Datos!V16)/Datos!V16,(Datos!L16+Datos!AF16-(Datos!V16+Datos!AN16))/(Datos!V16+Datos!AN16))
     ),IF(D_I="SI",(Datos!L16-Datos!V16)/Datos!V16,(Datos!L16+Datos!AF16-(Datos!V16+Datos!AN16))/(Datos!V16+Datos!AN16))," - ")</f>
        <v>4.2857142857142858E-2</v>
      </c>
      <c r="F16" s="455">
        <f>IF(ISNUMBER((Datos!M16-Datos!W16)/Datos!W16),(Datos!M16-Datos!W16)/Datos!W16," - ")</f>
        <v>0.41666666666666669</v>
      </c>
      <c r="G16" s="456">
        <f>IF(ISNUMBER((Datos!N16-Datos!X16)/Datos!X16),(Datos!N16-Datos!X16)/Datos!X16," - ")</f>
        <v>0.45714285714285713</v>
      </c>
      <c r="H16" s="454">
        <f>IF(ISNUMBER(((NºAsuntos!G16/NºAsuntos!E16)-Datos!BD16)/Datos!BD16),((NºAsuntos!G16/NºAsuntos!E16)-Datos!BD16)/Datos!BD16," - ")</f>
        <v>0.67249190938511316</v>
      </c>
      <c r="I16" s="455">
        <f>IF(ISNUMBER(((NºAsuntos!I16/NºAsuntos!G16)-Datos!BE16)/Datos!BE16),((NºAsuntos!I16/NºAsuntos!G16)-Datos!BE16)/Datos!BE16," - ")</f>
        <v>-0.21018907563025216</v>
      </c>
      <c r="J16" s="460">
        <f>IF(ISNUMBER((('Resol  Asuntos'!D16/NºAsuntos!G16)-Datos!BF16)/Datos!BF16),(('Resol  Asuntos'!D16/NºAsuntos!G16)-Datos!BF16)/Datos!BF16," - ")</f>
        <v>7.291666666666663E-2</v>
      </c>
      <c r="K16" s="461">
        <f>IF(ISNUMBER((((NºAsuntos!C16+NºAsuntos!E16)/NºAsuntos!G16)-Datos!BG16)/Datos!BG16),(((NºAsuntos!C16+NºAsuntos!E16)/NºAsuntos!G16)-Datos!BG16)/Datos!BG16," - ")</f>
        <v>-0.11380278252379776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-0.17647058823529413</v>
      </c>
      <c r="C17" s="455">
        <f>IF(ISNUMBER(
   IF(D_I="SI",(Datos!J17-Datos!T17)/Datos!T17,(Datos!J17+Datos!AD17-(Datos!T17+Datos!AL17))/(Datos!T17+Datos!AL17))
     ),IF(D_I="SI",(Datos!J17-Datos!T17)/Datos!T17,(Datos!J17+Datos!AD17-(Datos!T17+Datos!AL17))/(Datos!T17+Datos!AL17))," - ")</f>
        <v>0.61538461538461542</v>
      </c>
      <c r="D17" s="455">
        <f>IF(ISNUMBER(
   IF(D_I="SI",(Datos!K17-Datos!U17)/Datos!U17,(Datos!K17+Datos!AE17-(Datos!U17+Datos!AM17))/(Datos!U17+Datos!AM17))
     ),IF(D_I="SI",(Datos!K17-Datos!U17)/Datos!U17,(Datos!K17+Datos!AE17-(Datos!U17+Datos!AM17))/(Datos!U17+Datos!AM17))," - ")</f>
        <v>0.21428571428571427</v>
      </c>
      <c r="E17" s="455">
        <f>IF(ISNUMBER(
   IF(D_I="SI",(Datos!L17-Datos!V17)/Datos!V17,(Datos!L17+Datos!AF17-(Datos!V17+Datos!AN17))/(Datos!V17+Datos!AN17))
     ),IF(D_I="SI",(Datos!L17-Datos!V17)/Datos!V17,(Datos!L17+Datos!AF17-(Datos!V17+Datos!AN17))/(Datos!V17+Datos!AN17))," - ")</f>
        <v>0.125</v>
      </c>
      <c r="F17" s="455">
        <f>IF(ISNUMBER((Datos!M17-Datos!W17)/Datos!W17),(Datos!M17-Datos!W17)/Datos!W17," - ")</f>
        <v>0.25</v>
      </c>
      <c r="G17" s="456">
        <f>IF(ISNUMBER((Datos!N17-Datos!X17)/Datos!X17),(Datos!N17-Datos!X17)/Datos!X17," - ")</f>
        <v>0.125</v>
      </c>
      <c r="H17" s="454">
        <f>IF(ISNUMBER(((NºAsuntos!G17/NºAsuntos!E17)-Datos!BD17)/Datos!BD17),((NºAsuntos!G17/NºAsuntos!E17)-Datos!BD17)/Datos!BD17," - ")</f>
        <v>-0.2482993197278911</v>
      </c>
      <c r="I17" s="455">
        <f>IF(ISNUMBER(((NºAsuntos!I17/NºAsuntos!G17)-Datos!BE17)/Datos!BE17),((NºAsuntos!I17/NºAsuntos!G17)-Datos!BE17)/Datos!BE17," - ")</f>
        <v>-7.3529411764705815E-2</v>
      </c>
      <c r="J17" s="460">
        <f>IF(ISNUMBER((('Resol  Asuntos'!D17/NºAsuntos!G17)-Datos!BF17)/Datos!BF17),(('Resol  Asuntos'!D17/NºAsuntos!G17)-Datos!BF17)/Datos!BF17," - ")</f>
        <v>2.9411764705882443E-2</v>
      </c>
      <c r="K17" s="461">
        <f>IF(ISNUMBER((((NºAsuntos!C17+NºAsuntos!E17)/NºAsuntos!G17)-Datos!BG17)/Datos!BG17),(((NºAsuntos!C17+NºAsuntos!E17)/NºAsuntos!G17)-Datos!BG17)/Datos!BG17," - ")</f>
        <v>-3.9215686274509873E-2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0.43055555555555558</v>
      </c>
      <c r="C18" s="854">
        <f>IF(ISNUMBER(
   IF(Criterios!B14="SI",(Datos!J18-Datos!T18)/Datos!T18,(Datos!J18+Datos!AD18-(Datos!T18+Datos!AL18))/(Datos!T18+Datos!AL18))
     ),IF(Criterios!B14="SI",(Datos!J18-Datos!T18)/Datos!T18,(Datos!J18+Datos!AD18-(Datos!T18+Datos!AL18))/(Datos!T18+Datos!AL18))," - ")</f>
        <v>-0.12598425196850394</v>
      </c>
      <c r="D18" s="854">
        <f>IF(ISNUMBER(
   IF(Criterios!B14="SI",(Datos!K18-Datos!U18)/Datos!U18,(Datos!K18+Datos!AE18-(Datos!U18+Datos!AM18))/(Datos!U18+Datos!AM18))
     ),IF(Criterios!B14="SI",(Datos!K18-Datos!U18)/Datos!U18,(Datos!K18+Datos!AE18-(Datos!U18+Datos!AM18))/(Datos!U18+Datos!AM18))," - ")</f>
        <v>0.30769230769230771</v>
      </c>
      <c r="E18" s="854">
        <f>IF(ISNUMBER(
   IF(Criterios!B14="SI",(Datos!L18-Datos!V18)/Datos!V18,(Datos!L18+Datos!AF18-(Datos!V18+Datos!AN18))/(Datos!V18+Datos!AN18))
     ),IF(Criterios!B14="SI",(Datos!L18-Datos!V18)/Datos!V18,(Datos!L18+Datos!AF18-(Datos!V18+Datos!AN18))/(Datos!V18+Datos!AN18))," - ")</f>
        <v>5.128205128205128E-2</v>
      </c>
      <c r="F18" s="855">
        <f>IF(ISNUMBER((Datos!M18-Datos!W18)/Datos!W18),(Datos!M18-Datos!W18)/Datos!W18," - ")</f>
        <v>0.375</v>
      </c>
      <c r="G18" s="856">
        <f>IF(ISNUMBER((Datos!N18-Datos!X18)/Datos!X18),(Datos!N18-Datos!X18)/Datos!X18," - ")</f>
        <v>0.42307692307692307</v>
      </c>
      <c r="H18" s="856">
        <f>IF(ISNUMBER(((NºAsuntos!G18/NºAsuntos!E18)-Datos!BD18)/Datos!BD18),((NºAsuntos!G18/NºAsuntos!E18)-Datos!BD18)/Datos!BD18," - ")</f>
        <v>0.49618849618849603</v>
      </c>
      <c r="I18" s="856">
        <f>IF(ISNUMBER(((NºAsuntos!I18/NºAsuntos!G18)-Datos!BE18)/Datos!BE18),((NºAsuntos!I18/NºAsuntos!G18)-Datos!BE18)/Datos!BE18," - ")</f>
        <v>-0.19607843137254899</v>
      </c>
      <c r="J18" s="856">
        <f>IF(ISNUMBER((('Resol  Asuntos'!D18/NºAsuntos!G18)-Datos!BF18)/Datos!BF18),(('Resol  Asuntos'!D18/NºAsuntos!G18)-Datos!BF18)/Datos!BF18," - ")</f>
        <v>5.1470588235293928E-2</v>
      </c>
      <c r="K18" s="856">
        <f>IF(ISNUMBER((((NºAsuntos!C18+NºAsuntos!E18)/NºAsuntos!G18)-Datos!BG18)/Datos!BG18),(((NºAsuntos!C18+NºAsuntos!E18)/NºAsuntos!G18)-Datos!BG18)/Datos!BG18," - ")</f>
        <v>-0.10549164315172563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6.7146282973621102E-2</v>
      </c>
      <c r="C19" s="801">
        <f>IF(ISNUMBER(
   IF(J_V="SI",(Datos!J19-Datos!T19)/Datos!T19,(Datos!J19+Datos!Z19-(Datos!T19+Datos!AH19))/(Datos!T19+Datos!AH19))
     ),IF(J_V="SI",(Datos!J19-Datos!T19)/Datos!T19,(Datos!J19+Datos!Z19-(Datos!T19+Datos!AH19))/(Datos!T19+Datos!AH19))," - ")</f>
        <v>-0.30350194552529181</v>
      </c>
      <c r="D19" s="801">
        <f>IF(ISNUMBER(
   IF(J_V="SI",(Datos!K19-Datos!U19)/Datos!U19,(Datos!K19+Datos!AA19-(Datos!U19+Datos!AI19))/(Datos!U19+Datos!AI19))
     ),IF(J_V="SI",(Datos!K19-Datos!U19)/Datos!U19,(Datos!K19+Datos!AA19-(Datos!U19+Datos!AI19))/(Datos!U19+Datos!AI19))," - ")</f>
        <v>0.14356435643564355</v>
      </c>
      <c r="E19" s="801">
        <f>IF(ISNUMBER(
   IF(J_V="SI",(Datos!L19-Datos!V19)/Datos!V19,(Datos!L19+Datos!AB19-(Datos!V19+Datos!AJ19))/(Datos!V19+Datos!AJ19))
     ),IF(J_V="SI",(Datos!L19-Datos!V19)/Datos!V19,(Datos!L19+Datos!AB19-(Datos!V19+Datos!AJ19))/(Datos!V19+Datos!AJ19))," - ")</f>
        <v>-0.17088607594936708</v>
      </c>
      <c r="F19" s="802">
        <f>IF(ISNUMBER((Datos!M19-Datos!W19)/Datos!W19),(Datos!M19-Datos!W19)/Datos!W19," - ")</f>
        <v>0.28205128205128205</v>
      </c>
      <c r="G19" s="803">
        <f>IF(ISNUMBER((Datos!N19-Datos!X19)/Datos!X19),(Datos!N19-Datos!X19)/Datos!X19," - ")</f>
        <v>0.32710280373831774</v>
      </c>
      <c r="H19" s="804">
        <f>IF(ISNUMBER((Tasas!B19-Datos!BD19)/Datos!BD19),(Tasas!B19-Datos!BD19)/Datos!BD19," - ")</f>
        <v>0.6418773162232424</v>
      </c>
      <c r="I19" s="805">
        <f>IF(ISNUMBER((Tasas!C19-Datos!BE19)/Datos!BE19),(Tasas!C19-Datos!BE19)/Datos!BE19," - ")</f>
        <v>-0.2749739711765028</v>
      </c>
      <c r="J19" s="806">
        <f>IF(ISNUMBER((Tasas!D19-Datos!BF19)/Datos!BF19),(Tasas!D19-Datos!BF19)/Datos!BF19," - ")</f>
        <v>-2.8379028379028403E-2</v>
      </c>
      <c r="K19" s="806">
        <f>IF(ISNUMBER((Tasas!E19-Datos!BG19)/Datos!BG19),(Tasas!E19-Datos!BG19)/Datos!BG19," - ")</f>
        <v>-0.19041196192531501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8yOx8sMCwWqWI8Kq9alfPrsEHkt7LKHIIzDhvFhJ6n7wSqQd0KJKdOd/xdwEHPQPJqSu4tsn3CYno4DJ/fZ9g==" saltValue="+A1pq5g5yFqNP6xl+/Y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HUESCAR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1.1818181818181819</v>
      </c>
      <c r="C12" s="442">
        <f>IF(ISNUMBER(NºAsuntos!I12/NºAsuntos!G12),NºAsuntos!I12/NºAsuntos!G12," - ")</f>
        <v>2.8461538461538463</v>
      </c>
      <c r="D12" s="443">
        <f>IF(ISNUMBER('Resol  Asuntos'!D12/NºAsuntos!G12),'Resol  Asuntos'!D12/NºAsuntos!G12," - ")</f>
        <v>0.35897435897435898</v>
      </c>
      <c r="E12" s="444">
        <f>IF(ISNUMBER((NºAsuntos!C12+NºAsuntos!E12)/NºAsuntos!G12),(NºAsuntos!C12+NºAsuntos!E12)/NºAsuntos!G12," - ")</f>
        <v>3.8461538461538463</v>
      </c>
      <c r="G12" s="462"/>
    </row>
    <row r="13" spans="1:7" ht="14.25" thickTop="1" thickBot="1">
      <c r="A13" s="847" t="str">
        <f>Datos!A13</f>
        <v>TOTAL</v>
      </c>
      <c r="B13" s="857">
        <f>IF(ISNUMBER(NºAsuntos!G13/NºAsuntos!E13),NºAsuntos!G13/NºAsuntos!E13," - ")</f>
        <v>1.1470588235294117</v>
      </c>
      <c r="C13" s="858">
        <f>IF(ISNUMBER(NºAsuntos!I13/NºAsuntos!G13),NºAsuntos!I13/NºAsuntos!G13," - ")</f>
        <v>2.9358974358974357</v>
      </c>
      <c r="D13" s="859">
        <f>IF(ISNUMBER('Resol  Asuntos'!D13/NºAsuntos!G13),'Resol  Asuntos'!D13/NºAsuntos!G13," - ")</f>
        <v>0.35897435897435898</v>
      </c>
      <c r="E13" s="860">
        <f>IF(ISNUMBER((NºAsuntos!C13+NºAsuntos!E13)/NºAsuntos!G13),(NºAsuntos!C13+NºAsuntos!E13)/NºAsuntos!G13," - ")</f>
        <v>3.9358974358974357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1.5111111111111111</v>
      </c>
      <c r="C16" s="442">
        <f>IF(ISNUMBER(NºAsuntos!I16/NºAsuntos!G16),NºAsuntos!I16/NºAsuntos!G16," - ")</f>
        <v>1.0735294117647058</v>
      </c>
      <c r="D16" s="443">
        <f>IF(ISNUMBER('Resol  Asuntos'!D16/NºAsuntos!G16),'Resol  Asuntos'!D16/NºAsuntos!G16," - ")</f>
        <v>0.125</v>
      </c>
      <c r="E16" s="444">
        <f>IF(ISNUMBER((NºAsuntos!C16+NºAsuntos!E16)/NºAsuntos!G16),(NºAsuntos!C16+NºAsuntos!E16)/NºAsuntos!G16," - ")</f>
        <v>2.0735294117647061</v>
      </c>
      <c r="G16" s="462"/>
    </row>
    <row r="17" spans="1:7" ht="21.75" thickBot="1">
      <c r="A17" s="401" t="str">
        <f>Datos!A17</f>
        <v>Jdos. Violencia contra la mujer/Secc Viol. TI.</v>
      </c>
      <c r="B17" s="441">
        <f>IF(ISNUMBER(NºAsuntos!G17/NºAsuntos!E17),NºAsuntos!G17/NºAsuntos!E17," - ")</f>
        <v>0.80952380952380953</v>
      </c>
      <c r="C17" s="442">
        <f>IF(ISNUMBER(NºAsuntos!I17/NºAsuntos!G17),NºAsuntos!I17/NºAsuntos!G17," - ")</f>
        <v>1.0588235294117647</v>
      </c>
      <c r="D17" s="443">
        <f>IF(ISNUMBER('Resol  Asuntos'!D17/NºAsuntos!G17),'Resol  Asuntos'!D17/NºAsuntos!G17," - ")</f>
        <v>0.29411764705882354</v>
      </c>
      <c r="E17" s="444">
        <f>IF(ISNUMBER((NºAsuntos!C17+NºAsuntos!E17)/NºAsuntos!G17),(NºAsuntos!C17+NºAsuntos!E17)/NºAsuntos!G17," - ")</f>
        <v>2.0588235294117645</v>
      </c>
      <c r="G17" s="462"/>
    </row>
    <row r="18" spans="1:7" ht="14.25" thickTop="1" thickBot="1">
      <c r="A18" s="847" t="str">
        <f>Datos!A18</f>
        <v>TOTAL</v>
      </c>
      <c r="B18" s="857">
        <f>IF(ISNUMBER(NºAsuntos!G18/NºAsuntos!E18),NºAsuntos!G18/NºAsuntos!E18," - ")</f>
        <v>1.3783783783783783</v>
      </c>
      <c r="C18" s="858">
        <f>IF(ISNUMBER(NºAsuntos!I18/NºAsuntos!G18),NºAsuntos!I18/NºAsuntos!G18," - ")</f>
        <v>1.0718954248366013</v>
      </c>
      <c r="D18" s="861">
        <f>IF(ISNUMBER('Resol  Asuntos'!D18/NºAsuntos!G18),'Resol  Asuntos'!D18/NºAsuntos!G18," - ")</f>
        <v>0.1437908496732026</v>
      </c>
      <c r="E18" s="860">
        <f>IF(ISNUMBER((NºAsuntos!C18+NºAsuntos!E18)/NºAsuntos!G18),(NºAsuntos!C18+NºAsuntos!E18)/NºAsuntos!G18," - ")</f>
        <v>2.0718954248366015</v>
      </c>
      <c r="G18" s="462"/>
    </row>
    <row r="19" spans="1:7" ht="15.75" customHeight="1" thickTop="1" thickBot="1">
      <c r="A19" s="792" t="str">
        <f>Datos!A19</f>
        <v>TOTAL JURISDICCIONES</v>
      </c>
      <c r="B19" s="807">
        <f>IF(ISNUMBER(NºAsuntos!G19/NºAsuntos!E19),NºAsuntos!G19/NºAsuntos!E19," - ")</f>
        <v>1.2905027932960893</v>
      </c>
      <c r="C19" s="808">
        <f>IF(ISNUMBER(NºAsuntos!I19/NºAsuntos!G19),NºAsuntos!I19/NºAsuntos!G19," - ")</f>
        <v>1.7012987012987013</v>
      </c>
      <c r="D19" s="809">
        <f>IF(ISNUMBER('Resol  Asuntos'!D19/NºAsuntos!G19),'Resol  Asuntos'!D19/NºAsuntos!G19," - ")</f>
        <v>0.21645021645021645</v>
      </c>
      <c r="E19" s="810">
        <f>IF(ISNUMBER((NºAsuntos!C19+NºAsuntos!E19)/NºAsuntos!G19),(NºAsuntos!C19+NºAsuntos!E19)/NºAsuntos!G19," - ")</f>
        <v>2.7012987012987013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n39/EwWLxCi8Av1xqbddeReKJ9W8Xrqvp34pITjrGpQsbpVSQYbGsef4SddguBcJ2JDEItQAsHXUahKkZblg==" saltValue="jrEQ9gxEF2FhON+y2tDV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HUESCAR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4</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1.1818181818181819</v>
      </c>
      <c r="AM12" s="259">
        <f>IF(ISNUMBER(((NºAsuntos!I12/NºAsuntos!G12)*11)/factor_trimestre),((NºAsuntos!I12/NºAsuntos!G12)*11)/factor_trimestre," - ")</f>
        <v>5.6923076923076925</v>
      </c>
      <c r="AN12" s="243">
        <f>IF(ISNUMBER('Resol  Asuntos'!D12/NºAsuntos!G12),'Resol  Asuntos'!D12/NºAsuntos!G12," - ")</f>
        <v>0.35897435897435898</v>
      </c>
      <c r="AO12" s="244">
        <f>IF(ISNUMBER((NºAsuntos!C12+NºAsuntos!E12)/NºAsuntos!G12),(NºAsuntos!C12+NºAsuntos!E12)/NºAsuntos!G12," - ")</f>
        <v>3.8461538461538463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v>
      </c>
      <c r="Y13" s="867">
        <f t="shared" si="4"/>
        <v>14</v>
      </c>
      <c r="Z13" s="867">
        <f t="shared" si="4"/>
        <v>0</v>
      </c>
      <c r="AA13" s="867">
        <f t="shared" si="4"/>
        <v>7</v>
      </c>
      <c r="AB13" s="867">
        <f t="shared" si="4"/>
        <v>530</v>
      </c>
      <c r="AC13" s="867">
        <f t="shared" si="4"/>
        <v>11</v>
      </c>
      <c r="AD13" s="867">
        <f t="shared" si="4"/>
        <v>0</v>
      </c>
      <c r="AE13" s="871">
        <f t="shared" si="4"/>
        <v>0</v>
      </c>
      <c r="AF13" s="864">
        <f t="shared" si="4"/>
        <v>0</v>
      </c>
      <c r="AG13" s="872">
        <f t="shared" si="4"/>
        <v>0</v>
      </c>
      <c r="AH13" s="869">
        <f t="shared" si="4"/>
        <v>0</v>
      </c>
      <c r="AI13" s="864">
        <f t="shared" si="4"/>
        <v>28</v>
      </c>
      <c r="AJ13" s="866">
        <f t="shared" si="4"/>
        <v>0</v>
      </c>
      <c r="AK13" s="869">
        <f>SUBTOTAL(9,AK9:AK12)</f>
        <v>0</v>
      </c>
      <c r="AL13" s="873">
        <f>IF(ISNUMBER(NºAsuntos!G13/NºAsuntos!E13),NºAsuntos!G13/NºAsuntos!E13," - ")</f>
        <v>1.1470588235294117</v>
      </c>
      <c r="AM13" s="873">
        <f>IF(ISNUMBER(((NºAsuntos!I13/NºAsuntos!G13)*11)/factor_trimestre),((NºAsuntos!I13/NºAsuntos!G13)*11)/factor_trimestre," - ")</f>
        <v>5.8717948717948723</v>
      </c>
      <c r="AN13" s="874">
        <f>IF(ISNUMBER('Resol  Asuntos'!D13/NºAsuntos!G13),'Resol  Asuntos'!D13/NºAsuntos!G13," - ")</f>
        <v>0.35897435897435898</v>
      </c>
      <c r="AO13" s="875">
        <f>IF(ISNUMBER((NºAsuntos!C13+NºAsuntos!E13)/NºAsuntos!G13),(NºAsuntos!C13+NºAsuntos!E13)/NºAsuntos!G13," - ")</f>
        <v>3.9358974358974357</v>
      </c>
      <c r="AP13" s="876" t="str">
        <f t="shared" si="2"/>
        <v xml:space="preserve"> - </v>
      </c>
      <c r="AQ13" s="876">
        <f>IF(ISNUMBER((H13-W13+K13)/(F13)),(H13-W13+K13)/(F13)," - ")</f>
        <v>0</v>
      </c>
      <c r="AR13" s="877">
        <f>IF(ISNUMBER((Datos!P13-Datos!Q13)/(Datos!R13-Datos!P13+Datos!Q13)),(Datos!P13-Datos!Q13)/(Datos!R13-Datos!P13+Datos!Q13)," - ")</f>
        <v>6.8548387096774188E-2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192</v>
      </c>
      <c r="G16" s="332">
        <f>IF(ISNUMBER(IF(D_I="SI",Datos!I16,Datos!I16+Datos!AC16)),IF(D_I="SI",Datos!I16,Datos!I16+Datos!AC16)," - ")</f>
        <v>192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136</v>
      </c>
      <c r="X16" s="225">
        <f>IF(ISNUMBER(Datos!Q16),Datos!Q16," - ")</f>
        <v>1</v>
      </c>
      <c r="Y16" s="333">
        <f t="shared" ref="Y16:Y17" si="7">SUM(W16:X16)</f>
        <v>137</v>
      </c>
      <c r="Z16" s="334" t="str">
        <f>IF(ISNUMBER(Datos!CC16),Datos!CC16," - ")</f>
        <v xml:space="preserve"> - </v>
      </c>
      <c r="AA16" s="331">
        <f>IF(ISNUMBER(IF(D_I="SI",Datos!L16,Datos!L16+Datos!AF16)),IF(D_I="SI",Datos!L16,Datos!L16+Datos!AF16)," - ")</f>
        <v>146</v>
      </c>
      <c r="AB16" s="333">
        <f>IF(ISNUMBER(Datos!R16),Datos!R16," - ")</f>
        <v>28</v>
      </c>
      <c r="AC16" s="333">
        <f t="shared" si="6"/>
        <v>174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1.5111111111111111</v>
      </c>
      <c r="AM16" s="259">
        <f>IF(ISNUMBER(((NºAsuntos!I16/NºAsuntos!G16)*11)/factor_trimestre),((NºAsuntos!I16/NºAsuntos!G16)*11)/factor_trimestre," - ")</f>
        <v>2.1470588235294117</v>
      </c>
      <c r="AN16" s="243">
        <f>IF(ISNUMBER('Resol  Asuntos'!D16/NºAsuntos!G16),'Resol  Asuntos'!D16/NºAsuntos!G16," - ")</f>
        <v>0.125</v>
      </c>
      <c r="AO16" s="244">
        <f>IF(ISNUMBER((NºAsuntos!C16+NºAsuntos!E16)/NºAsuntos!G16),(NºAsuntos!C16+NºAsuntos!E16)/NºAsuntos!G16," - ")</f>
        <v>2.0735294117647061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1</v>
      </c>
      <c r="Y17" s="333">
        <f t="shared" si="7"/>
        <v>18</v>
      </c>
      <c r="Z17" s="334" t="str">
        <f>IF(ISNUMBER(Datos!CC17),Datos!CC17," - ")</f>
        <v xml:space="preserve"> - </v>
      </c>
      <c r="AA17" s="331">
        <f>IF(ISNUMBER(Datos!L17),Datos!L17,"-")</f>
        <v>18</v>
      </c>
      <c r="AB17" s="333">
        <f>IF(ISNUMBER(Datos!R17),Datos!R17," - ")</f>
        <v>2</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0.80952380952380953</v>
      </c>
      <c r="AM17" s="259">
        <f>IF(ISNUMBER(((NºAsuntos!I17/NºAsuntos!G17)*11)/factor_trimestre),((NºAsuntos!I17/NºAsuntos!G17)*11)/factor_trimestre," - ")</f>
        <v>2.1176470588235294</v>
      </c>
      <c r="AN17" s="243">
        <f>IF(ISNUMBER('Resol  Asuntos'!D17/NºAsuntos!G17),'Resol  Asuntos'!D17/NºAsuntos!G17," - ")</f>
        <v>0.29411764705882354</v>
      </c>
      <c r="AO17" s="244">
        <f>IF(ISNUMBER((NºAsuntos!C17+NºAsuntos!E17)/NºAsuntos!G17),(NºAsuntos!C17+NºAsuntos!E17)/NºAsuntos!G17," - ")</f>
        <v>2.0588235294117645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192</v>
      </c>
      <c r="G18" s="865">
        <f>SUBTOTAL(9,G15:G17)</f>
        <v>206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153</v>
      </c>
      <c r="X18" s="866">
        <f t="shared" si="11"/>
        <v>2</v>
      </c>
      <c r="Y18" s="867">
        <f t="shared" si="11"/>
        <v>155</v>
      </c>
      <c r="Z18" s="867">
        <f t="shared" si="11"/>
        <v>0</v>
      </c>
      <c r="AA18" s="867">
        <f t="shared" si="11"/>
        <v>164</v>
      </c>
      <c r="AB18" s="867">
        <f t="shared" si="11"/>
        <v>30</v>
      </c>
      <c r="AC18" s="867">
        <f t="shared" si="11"/>
        <v>194</v>
      </c>
      <c r="AD18" s="867">
        <f t="shared" si="11"/>
        <v>0</v>
      </c>
      <c r="AE18" s="871">
        <f t="shared" si="11"/>
        <v>0</v>
      </c>
      <c r="AF18" s="864">
        <f t="shared" si="11"/>
        <v>0</v>
      </c>
      <c r="AG18" s="872">
        <f t="shared" si="11"/>
        <v>0</v>
      </c>
      <c r="AH18" s="869">
        <f t="shared" si="11"/>
        <v>0</v>
      </c>
      <c r="AI18" s="864">
        <f t="shared" si="11"/>
        <v>22</v>
      </c>
      <c r="AJ18" s="866">
        <f t="shared" si="11"/>
        <v>0</v>
      </c>
      <c r="AK18" s="869">
        <f t="shared" si="11"/>
        <v>0</v>
      </c>
      <c r="AL18" s="873">
        <f>IF(ISNUMBER(NºAsuntos!G18/NºAsuntos!E18),NºAsuntos!G18/NºAsuntos!E18," - ")</f>
        <v>1.3783783783783783</v>
      </c>
      <c r="AM18" s="873">
        <f>IF(ISNUMBER(((NºAsuntos!I18/NºAsuntos!G18)*11)/factor_trimestre),((NºAsuntos!I18/NºAsuntos!G18)*11)/factor_trimestre," - ")</f>
        <v>2.1437908496732025</v>
      </c>
      <c r="AN18" s="874">
        <f>IF(ISNUMBER('Resol  Asuntos'!D18/NºAsuntos!G18),'Resol  Asuntos'!D18/NºAsuntos!G18," - ")</f>
        <v>0.1437908496732026</v>
      </c>
      <c r="AO18" s="875">
        <f>IF(ISNUMBER((NºAsuntos!C18+NºAsuntos!E18)/NºAsuntos!G18),(NºAsuntos!C18+NºAsuntos!E18)/NºAsuntos!G18," - ")</f>
        <v>2.0718954248366015</v>
      </c>
      <c r="AP18" s="876" t="str">
        <f t="shared" si="2"/>
        <v xml:space="preserve"> - </v>
      </c>
      <c r="AQ18" s="876">
        <f>IF(ISNUMBER((H18-W18+K18)/(F18)),(H18-W18+K18)/(F18)," - ")</f>
        <v>-0.796875</v>
      </c>
      <c r="AR18" s="877">
        <f>IF(ISNUMBER((Datos!P18-Datos!Q18)/(Datos!R18-Datos!P18+Datos!Q18)),(Datos!P18-Datos!Q18)/(Datos!R18-Datos!P18+Datos!Q18)," - ")</f>
        <v>3.4482758620689655E-2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197</v>
      </c>
      <c r="G19" s="820">
        <f t="shared" si="13"/>
        <v>211</v>
      </c>
      <c r="H19" s="819">
        <f t="shared" si="13"/>
        <v>0</v>
      </c>
      <c r="I19" s="821">
        <f t="shared" si="13"/>
        <v>0</v>
      </c>
      <c r="J19" s="821">
        <f t="shared" si="13"/>
        <v>0</v>
      </c>
      <c r="K19" s="880">
        <f t="shared" si="13"/>
        <v>0</v>
      </c>
      <c r="L19" s="821">
        <f t="shared" si="13"/>
        <v>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153</v>
      </c>
      <c r="X19" s="820">
        <f t="shared" si="14"/>
        <v>16</v>
      </c>
      <c r="Y19" s="827">
        <f t="shared" si="14"/>
        <v>169</v>
      </c>
      <c r="Z19" s="827">
        <f t="shared" si="14"/>
        <v>0</v>
      </c>
      <c r="AA19" s="827">
        <f t="shared" si="14"/>
        <v>171</v>
      </c>
      <c r="AB19" s="827">
        <f t="shared" si="14"/>
        <v>560</v>
      </c>
      <c r="AC19" s="827">
        <f t="shared" si="14"/>
        <v>205</v>
      </c>
      <c r="AD19" s="827">
        <f t="shared" si="14"/>
        <v>0</v>
      </c>
      <c r="AE19" s="829">
        <f t="shared" si="14"/>
        <v>0</v>
      </c>
      <c r="AF19" s="830">
        <f t="shared" si="14"/>
        <v>0</v>
      </c>
      <c r="AG19" s="831">
        <f t="shared" si="14"/>
        <v>0</v>
      </c>
      <c r="AH19" s="829">
        <f t="shared" si="14"/>
        <v>0</v>
      </c>
      <c r="AI19" s="819">
        <f t="shared" si="14"/>
        <v>50</v>
      </c>
      <c r="AJ19" s="819">
        <f t="shared" si="14"/>
        <v>0</v>
      </c>
      <c r="AK19" s="829">
        <f t="shared" si="14"/>
        <v>0</v>
      </c>
      <c r="AL19" s="883">
        <f>IF(ISNUMBER(NºAsuntos!G19/NºAsuntos!E19),NºAsuntos!G19/NºAsuntos!E19," - ")</f>
        <v>1.2905027932960893</v>
      </c>
      <c r="AM19" s="884">
        <f>IF(ISNUMBER(((NºAsuntos!I19/NºAsuntos!G19)*11)/factor_trimestre),((NºAsuntos!I19/NºAsuntos!G19)*11)/factor_trimestre," - ")</f>
        <v>3.4025974025974026</v>
      </c>
      <c r="AN19" s="884">
        <f>IF(ISNUMBER('Resol  Asuntos'!D19/NºAsuntos!G19),'Resol  Asuntos'!D19/NºAsuntos!G19," - ")</f>
        <v>0.21645021645021645</v>
      </c>
      <c r="AO19" s="885">
        <f>IF(ISNUMBER((NºAsuntos!C19+NºAsuntos!E19)/NºAsuntos!G19),(NºAsuntos!C19+NºAsuntos!E19)/NºAsuntos!G19," - ")</f>
        <v>2.7012987012987013</v>
      </c>
      <c r="AP19" s="886" t="str">
        <f t="shared" si="2"/>
        <v xml:space="preserve"> - </v>
      </c>
      <c r="AQ19" s="887">
        <f>IF(OR(ISNUMBER(FIND("01",Criterios!A8,1)),ISNUMBER(FIND("02",Criterios!A8,1)),ISNUMBER(FIND("03",Criterios!A8,1)),ISNUMBER(FIND("04",Criterios!A8,1))),(I19-W19+K19)/(F19-K19),(H19-W19+K19)/(F19-K19))</f>
        <v>-0.7766497461928934</v>
      </c>
      <c r="AR19" s="888">
        <f>IF(ISNUMBER((Datos!P19-Datos!Q19)/(Datos!R19-Datos!P19+Datos!Q19)),(Datos!P19-Datos!Q19)/(Datos!R19-Datos!P19+Datos!Q19)," - ")</f>
        <v>6.6666666666666666E-2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107.96450033846003</v>
      </c>
      <c r="G21" s="252">
        <f>IF(ISNUMBER(STDEV(G8:G18)),STDEV(G8:G18),"-")</f>
        <v>104.79646940617799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76.59438621726791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11.826523862347154</v>
      </c>
      <c r="AJ21" s="251">
        <f t="shared" si="18"/>
        <v>0</v>
      </c>
      <c r="AK21" s="253">
        <f t="shared" si="18"/>
        <v>0</v>
      </c>
      <c r="AL21" s="248">
        <f t="shared" si="18"/>
        <v>0.54685289580198959</v>
      </c>
      <c r="AM21" s="249">
        <f t="shared" si="18"/>
        <v>1.9979743900437412</v>
      </c>
      <c r="AN21" s="249">
        <f t="shared" si="18"/>
        <v>0.11446848767599906</v>
      </c>
      <c r="AO21" s="250">
        <f t="shared" si="18"/>
        <v>0.9989871950218715</v>
      </c>
      <c r="AP21" s="290" t="str">
        <f t="shared" si="18"/>
        <v>-</v>
      </c>
      <c r="AQ21" s="291">
        <f t="shared" si="18"/>
        <v>0.56347571625803006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cnnyqIuEigjKfEdsr9p+QaFe9TWVEXGXifedeK/Ydz58QDkazUmzo1mXR/IqOF9OsqCF7op0SQ0kyv+EIBjow==" saltValue="SGTDhGorK6onVxPIzQzt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HUESCAR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-0.6</v>
      </c>
      <c r="F10" s="347">
        <f>IF(ISNUMBER((Datos!K10-Datos!U10)/Datos!U10),(Datos!K10-Datos!U10)/Datos!U10," - ")</f>
        <v>-1</v>
      </c>
      <c r="G10" s="348">
        <f>IF(ISNUMBER((Datos!L10-Datos!V10)/Datos!V10),(Datos!L10-Datos!V10)/Datos!V10," - ")</f>
        <v>-0.125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0.21739130434782608</v>
      </c>
      <c r="I12" s="349">
        <f>IF(ISNUMBER((Tasas!C12-Datos!BE12)/Datos!BE12),(Tasas!C12-Datos!BE12)/Datos!BE12," - ")</f>
        <v>-0.23796526054590564</v>
      </c>
      <c r="J12" s="348">
        <f>IF(ISNUMBER((Tasas!D12-Datos!BF12)/Datos!BF12),(Tasas!D12-Datos!BF12)/Datos!BF12," - ")</f>
        <v>2.7409372236958406E-2</v>
      </c>
      <c r="K12" s="350">
        <f>IF(ISNUMBER((Tasas!E12-Datos!BG12)/Datos!BG12),(Tasas!E12-Datos!BG12)/Datos!BG12," - ")</f>
        <v>-0.18770796633392056</v>
      </c>
      <c r="M12" t="e">
        <f>IF(Monitorios="SI",Datos!CE12,0)</f>
        <v>#REF!</v>
      </c>
      <c r="N12" t="e">
        <f>IF(Monitorios="SI",Datos!CF12,0)</f>
        <v>#REF!</v>
      </c>
      <c r="O12" t="e">
        <f>IF(Monitorios="SI",Datos!CG12,0)</f>
        <v>#REF!</v>
      </c>
      <c r="P12" t="e">
        <f>IF(Monitorios="SI",Datos!CH12,0)</f>
        <v>#REF!</v>
      </c>
      <c r="Q12">
        <f>IF(J_V="SI",0,Datos!AG12)</f>
        <v>25</v>
      </c>
      <c r="R12">
        <f>IF(J_V="SI",0,Datos!AH12)</f>
        <v>22</v>
      </c>
      <c r="S12">
        <f>IF(J_V="SI",0,Datos!AI12)</f>
        <v>6</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0.21739130434782608</v>
      </c>
      <c r="I13" s="356">
        <f>IF(ISNUMBER((Tasas!C13-Datos!BE13)/Datos!BE13),(Tasas!C13-Datos!BE13)/Datos!BE13," - ")</f>
        <v>-0.21524754071923891</v>
      </c>
      <c r="J13" s="354">
        <f>IF(ISNUMBER((Tasas!D13-Datos!BF13)/Datos!BF13),(Tasas!D13-Datos!BF13)/Datos!BF13," - ")</f>
        <v>5.2166224580017656E-2</v>
      </c>
      <c r="K13" s="357">
        <f>IF(ISNUMBER((Tasas!E13-Datos!BG13)/Datos!BG13),(Tasas!E13-Datos!BG13)/Datos!BG13," - ")</f>
        <v>-0.16984793535662027</v>
      </c>
      <c r="M13" t="e">
        <f>IF(Monitorios="SI",Datos!CE13,0)</f>
        <v>#REF!</v>
      </c>
      <c r="N13" t="e">
        <f>IF(Monitorios="SI",Datos!CF13,0)</f>
        <v>#REF!</v>
      </c>
      <c r="O13" t="e">
        <f>IF(Monitorios="SI",Datos!CG13,0)</f>
        <v>#REF!</v>
      </c>
      <c r="P13" t="e">
        <f>IF(Monitorios="SI",Datos!CH13,0)</f>
        <v>#REF!</v>
      </c>
      <c r="Q13">
        <f>IF(J_V="SI",0,Datos!AG13)</f>
        <v>25</v>
      </c>
      <c r="R13">
        <f>IF(J_V="SI",0,Datos!AH13)</f>
        <v>22</v>
      </c>
      <c r="S13">
        <f>IF(J_V="SI",0,Datos!AI13)</f>
        <v>6</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0.51181102362204722</v>
      </c>
      <c r="E16" s="347">
        <f>IF(ISNUMBER(
   IF(D_I="SI",(Datos!J16-Datos!T16)/Datos!T16,(Datos!J16+Datos!AD16-(Datos!T16+Datos!AL16))/(Datos!T16+Datos!AL16))
     ),IF(D_I="SI",(Datos!J16-Datos!T16)/Datos!T16,(Datos!J16+Datos!AD16-(Datos!T16+Datos!AL16))/(Datos!T16+Datos!AL16))," - ")</f>
        <v>-0.21052631578947367</v>
      </c>
      <c r="F16" s="347">
        <f>IF(ISNUMBER(
   IF(D_I="SI",(Datos!K16-Datos!U16)/Datos!U16,(Datos!K16+Datos!AE16-(Datos!U16+Datos!AM16))/(Datos!U16+Datos!AM16))
     ),IF(D_I="SI",(Datos!K16-Datos!U16)/Datos!U16,(Datos!K16+Datos!AE16-(Datos!U16+Datos!AM16))/(Datos!U16+Datos!AM16))," - ")</f>
        <v>0.32038834951456313</v>
      </c>
      <c r="G16" s="348">
        <f>IF(ISNUMBER(
   IF(D_I="SI",(Datos!L16-Datos!V16)/Datos!V16,(Datos!L16+Datos!AF16-(Datos!V16+Datos!AN16))/(Datos!V16+Datos!AN16))
     ),IF(D_I="SI",(Datos!L16-Datos!V16)/Datos!V16,(Datos!L16+Datos!AF16-(Datos!V16+Datos!AN16))/(Datos!V16+Datos!AN16))," - ")</f>
        <v>4.2857142857142858E-2</v>
      </c>
      <c r="H16" s="229">
        <f>IF(ISNUMBER((Datos!M16-Datos!W16)/Datos!W16),(Datos!M16-Datos!W16)/Datos!W16," - ")</f>
        <v>0.41666666666666669</v>
      </c>
      <c r="I16" s="349">
        <f>IF(ISNUMBER((Tasas!C16-Datos!BE16)/Datos!BE16),(Tasas!C16-Datos!BE16)/Datos!BE16," - ")</f>
        <v>-0.21018907563025216</v>
      </c>
      <c r="J16" s="348">
        <f>IF(ISNUMBER((Tasas!D16-Datos!BF16)/Datos!BF16),(Tasas!D16-Datos!BF16)/Datos!BF16," - ")</f>
        <v>7.291666666666663E-2</v>
      </c>
      <c r="K16" s="350">
        <f>IF(ISNUMBER((Tasas!E16-Datos!BG16)/Datos!BG16),(Tasas!E16-Datos!BG16)/Datos!BG16," - ")</f>
        <v>-0.11380278252379776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-0.17647058823529413</v>
      </c>
      <c r="E17" s="347">
        <f>IF(ISNUMBER(
   IF(D_I="SI",(Datos!J17-Datos!T17)/Datos!T17,(Datos!J17+Datos!AD17-(Datos!T17+Datos!AL17))/(Datos!T17+Datos!AL17))
     ),IF(D_I="SI",(Datos!J17-Datos!T17)/Datos!T17,(Datos!J17+Datos!AD17-(Datos!T17+Datos!AL17))/(Datos!T17+Datos!AL17))," - ")</f>
        <v>0.61538461538461542</v>
      </c>
      <c r="F17" s="347">
        <f>IF(ISNUMBER(
   IF(D_I="SI",(Datos!K17-Datos!U17)/Datos!U17,(Datos!K17+Datos!AE17-(Datos!U17+Datos!AM17))/(Datos!U17+Datos!AM17))
     ),IF(D_I="SI",(Datos!K17-Datos!U17)/Datos!U17,(Datos!K17+Datos!AE17-(Datos!U17+Datos!AM17))/(Datos!U17+Datos!AM17))," - ")</f>
        <v>0.21428571428571427</v>
      </c>
      <c r="G17" s="348">
        <f>IF(ISNUMBER(
   IF(D_I="SI",(Datos!L17-Datos!V17)/Datos!V17,(Datos!L17+Datos!AF17-(Datos!V17+Datos!AN17))/(Datos!V17+Datos!AN17))
     ),IF(D_I="SI",(Datos!L17-Datos!V17)/Datos!V17,(Datos!L17+Datos!AF17-(Datos!V17+Datos!AN17))/(Datos!V17+Datos!AN17))," - ")</f>
        <v>0.125</v>
      </c>
      <c r="H17" s="229">
        <f>IF(ISNUMBER((Datos!M17-Datos!W17)/Datos!W17),(Datos!M17-Datos!W17)/Datos!W17," - ")</f>
        <v>0.25</v>
      </c>
      <c r="I17" s="349">
        <f>IF(ISNUMBER((Tasas!C17-Datos!BE17)/Datos!BE17),(Tasas!C17-Datos!BE17)/Datos!BE17," - ")</f>
        <v>-7.3529411764705815E-2</v>
      </c>
      <c r="J17" s="348">
        <f>IF(ISNUMBER((Tasas!D17-Datos!BF17)/Datos!BF17),(Tasas!D17-Datos!BF17)/Datos!BF17," - ")</f>
        <v>2.9411764705882443E-2</v>
      </c>
      <c r="K17" s="350">
        <f>IF(ISNUMBER((Tasas!E17-Datos!BG17)/Datos!BG17),(Tasas!E17-Datos!BG17)/Datos!BG17," - ")</f>
        <v>-3.9215686274509873E-2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0.43055555555555558</v>
      </c>
      <c r="E18" s="353">
        <f>IF(ISNUMBER(
   IF(D_I="SI",(Datos!J18-Datos!T18)/Datos!T18,(Datos!J18+Datos!AD18-(Datos!T18+Datos!AL18))/(Datos!T18+Datos!AL18))
     ),IF(D_I="SI",(Datos!J18-Datos!T18)/Datos!T18,(Datos!J18+Datos!AD18-(Datos!T18+Datos!AL18))/(Datos!T18+Datos!AL18))," - ")</f>
        <v>-0.12598425196850394</v>
      </c>
      <c r="F18" s="353">
        <f>IF(ISNUMBER(
   IF(D_I="SI",(Datos!K18-Datos!U18)/Datos!U18,(Datos!K18+Datos!AE18-(Datos!U18+Datos!AM18))/(Datos!U18+Datos!AM18))
     ),IF(D_I="SI",(Datos!K18-Datos!U18)/Datos!U18,(Datos!K18+Datos!AE18-(Datos!U18+Datos!AM18))/(Datos!U18+Datos!AM18))," - ")</f>
        <v>0.30769230769230771</v>
      </c>
      <c r="G18" s="354">
        <f>IF(ISNUMBER(
   IF(D_I="SI",(Datos!L18-Datos!V18)/Datos!V18,(Datos!L18+Datos!AF18-(Datos!V18+Datos!AN18))/(Datos!V18+Datos!AN18))
     ),IF(D_I="SI",(Datos!L18-Datos!V18)/Datos!V18,(Datos!L18+Datos!AF18-(Datos!V18+Datos!AN18))/(Datos!V18+Datos!AN18))," - ")</f>
        <v>5.128205128205128E-2</v>
      </c>
      <c r="H18" s="355">
        <f>IF(ISNUMBER((Datos!M18-Datos!W18)/Datos!W18),(Datos!M18-Datos!W18)/Datos!W18," - ")</f>
        <v>0.375</v>
      </c>
      <c r="I18" s="356">
        <f>IF(ISNUMBER((Tasas!C18-Datos!BE18)/Datos!BE18),(Tasas!C18-Datos!BE18)/Datos!BE18," - ")</f>
        <v>-0.19607843137254899</v>
      </c>
      <c r="J18" s="354">
        <f>IF(ISNUMBER((Tasas!D18-Datos!BF18)/Datos!BF18),(Tasas!D18-Datos!BF18)/Datos!BF18," - ")</f>
        <v>5.1470588235293928E-2</v>
      </c>
      <c r="K18" s="357">
        <f>IF(ISNUMBER((Tasas!E18-Datos!BG18)/Datos!BG18),(Tasas!E18-Datos!BG18)/Datos!BG18," - ")</f>
        <v>-0.10549164315172563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6.7146282973621102E-2</v>
      </c>
      <c r="E19" s="362">
        <f>IF(ISNUMBER(
   IF(J_V="SI",(Datos!J19-Datos!T19)/Datos!T19,(Datos!J19+Datos!Z19-(Datos!T19+Datos!AH19))/(Datos!T19+Datos!AH19))
     ),IF(J_V="SI",(Datos!J19-Datos!T19)/Datos!T19,(Datos!J19+Datos!Z19-(Datos!T19+Datos!AH19))/(Datos!T19+Datos!AH19))," - ")</f>
        <v>-0.30350194552529181</v>
      </c>
      <c r="F19" s="362">
        <f>IF(ISNUMBER(
   IF(J_V="SI",(Datos!K19-Datos!U19)/Datos!U19,(Datos!K19+Datos!AA19-(Datos!U19+Datos!AI19))/(Datos!U19+Datos!AI19))
     ),IF(J_V="SI",(Datos!K19-Datos!U19)/Datos!U19,(Datos!K19+Datos!AA19-(Datos!U19+Datos!AI19))/(Datos!U19+Datos!AI19))," - ")</f>
        <v>0.14356435643564355</v>
      </c>
      <c r="G19" s="363">
        <f>IF(ISNUMBER(
   IF(J_V="SI",(Datos!L19-Datos!V19)/Datos!V19,(Datos!L19+Datos!AB19-(Datos!V19+Datos!AJ19))/(Datos!V19+Datos!AJ19))
     ),IF(J_V="SI",(Datos!L19-Datos!V19)/Datos!V19,(Datos!L19+Datos!AB19-(Datos!V19+Datos!AJ19))/(Datos!V19+Datos!AJ19))," - ")</f>
        <v>-0.17088607594936708</v>
      </c>
      <c r="H19" s="364">
        <f>IF(ISNUMBER((Datos!M19-Datos!W19)/Datos!W19),(Datos!M19-Datos!W19)/Datos!W19," - ")</f>
        <v>0.28205128205128205</v>
      </c>
      <c r="I19" s="361">
        <f>IF(ISNUMBER((Tasas!C19-Datos!BE19)/Datos!BE19),(Tasas!C19-Datos!BE19)/Datos!BE19," - ")</f>
        <v>-0.2749739711765028</v>
      </c>
      <c r="J19" s="362">
        <f>IF(ISNUMBER((Tasas!D19-Datos!BF19)/Datos!BF19),(Tasas!D19-Datos!BF19)/Datos!BF19," - ")</f>
        <v>-2.8379028379028403E-2</v>
      </c>
      <c r="K19" s="363">
        <f>IF(ISNUMBER((Tasas!E19-Datos!BG19)/Datos!BG19),(Tasas!E19-Datos!BG19)/Datos!BG19," - ")</f>
        <v>-0.19041196192531501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0.33257646318680684</v>
      </c>
      <c r="E21" s="277">
        <f t="shared" si="1"/>
        <v>0.50764525570326469</v>
      </c>
      <c r="F21" s="277">
        <f t="shared" si="1"/>
        <v>0.64213952997136037</v>
      </c>
      <c r="G21" s="278">
        <f t="shared" si="1"/>
        <v>0.1056740846648762</v>
      </c>
      <c r="H21" s="284">
        <f t="shared" si="1"/>
        <v>9.3906305671698886E-2</v>
      </c>
      <c r="I21" s="276">
        <f t="shared" si="1"/>
        <v>6.4981371629803955E-2</v>
      </c>
      <c r="J21" s="277">
        <f t="shared" si="1"/>
        <v>1.8781373680124135E-2</v>
      </c>
      <c r="K21" s="278">
        <f t="shared" si="1"/>
        <v>5.8720876339926842E-2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aFtBZqvN93kMzYXwmZ8woNzoz969BDAGNC0sJa8NBoIV1enKjELL+cbyynBRZlj3SOZyTeNUpmIQV+EtYa/Jg==" saltValue="NToz1ivDJ0lFWWC5rXX3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